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-120" yWindow="-120" windowWidth="23256" windowHeight="13140" tabRatio="789" activeTab="1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6" i="7" l="1"/>
  <c r="V26" i="7"/>
  <c r="U26" i="7"/>
  <c r="T26" i="7"/>
  <c r="S26" i="7"/>
  <c r="R26" i="7"/>
  <c r="W25" i="7"/>
  <c r="V25" i="7"/>
  <c r="U25" i="7"/>
  <c r="T25" i="7"/>
  <c r="S25" i="7"/>
  <c r="R25" i="7"/>
  <c r="W24" i="7"/>
  <c r="V24" i="7"/>
  <c r="U24" i="7"/>
  <c r="T24" i="7"/>
  <c r="S24" i="7"/>
  <c r="R24" i="7"/>
  <c r="W23" i="7"/>
  <c r="V23" i="7"/>
  <c r="U23" i="7"/>
  <c r="T23" i="7"/>
  <c r="S23" i="7"/>
  <c r="R23" i="7"/>
  <c r="W22" i="7"/>
  <c r="V22" i="7"/>
  <c r="U22" i="7"/>
  <c r="T22" i="7"/>
  <c r="S22" i="7"/>
  <c r="R22" i="7"/>
  <c r="X23" i="7" l="1"/>
  <c r="X25" i="7"/>
  <c r="X22" i="7"/>
  <c r="X24" i="7"/>
  <c r="X26" i="7"/>
  <c r="E7" i="18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E63" i="18"/>
  <c r="G63" i="18"/>
  <c r="J63" i="18"/>
  <c r="M63" i="18"/>
  <c r="I53" i="18"/>
  <c r="N53" i="18"/>
  <c r="E53" i="18"/>
  <c r="J53" i="18"/>
  <c r="F63" i="18"/>
  <c r="K63" i="18"/>
  <c r="D22" i="18"/>
  <c r="F21" i="18" s="1"/>
  <c r="G53" i="18"/>
  <c r="M53" i="18"/>
  <c r="I63" i="18"/>
  <c r="N63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I21" i="18" l="1"/>
  <c r="G21" i="18"/>
  <c r="M21" i="18"/>
  <c r="K21" i="18"/>
  <c r="J21" i="18"/>
  <c r="L21" i="18"/>
  <c r="N21" i="18"/>
  <c r="D56" i="18"/>
  <c r="J55" i="18" s="1"/>
  <c r="H21" i="18"/>
  <c r="E31" i="18"/>
  <c r="D66" i="18"/>
  <c r="K65" i="18" s="1"/>
  <c r="M65" i="18"/>
  <c r="F69" i="17"/>
  <c r="G69" i="17"/>
  <c r="H69" i="17"/>
  <c r="I69" i="17"/>
  <c r="J69" i="17"/>
  <c r="K69" i="17"/>
  <c r="L69" i="17"/>
  <c r="M69" i="17"/>
  <c r="N69" i="17"/>
  <c r="E69" i="17"/>
  <c r="I55" i="18" l="1"/>
  <c r="F55" i="18"/>
  <c r="N55" i="18"/>
  <c r="L55" i="18"/>
  <c r="M55" i="18"/>
  <c r="G55" i="18"/>
  <c r="H55" i="18"/>
  <c r="K55" i="18"/>
  <c r="E55" i="18" s="1"/>
  <c r="E21" i="18"/>
  <c r="L65" i="18"/>
  <c r="I65" i="18"/>
  <c r="N65" i="18"/>
  <c r="H65" i="18"/>
  <c r="G6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S12" i="7"/>
  <c r="T12" i="7"/>
  <c r="U12" i="7"/>
  <c r="V12" i="7"/>
  <c r="W12" i="7"/>
  <c r="R12" i="7"/>
  <c r="E65" i="18" l="1"/>
  <c r="X12" i="7"/>
  <c r="X21" i="7"/>
  <c r="X13" i="7"/>
  <c r="X11" i="7"/>
  <c r="X20" i="7"/>
  <c r="X19" i="7"/>
  <c r="X16" i="7"/>
  <c r="X15" i="7"/>
  <c r="X17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18" i="7" s="1"/>
  <c r="H21" i="4"/>
  <c r="V18" i="7" s="1"/>
  <c r="G21" i="4"/>
  <c r="U18" i="7" s="1"/>
  <c r="F21" i="4"/>
  <c r="T18" i="7" s="1"/>
  <c r="E21" i="4"/>
  <c r="S18" i="7" s="1"/>
  <c r="D21" i="4"/>
  <c r="R18" i="7" s="1"/>
  <c r="M20" i="4"/>
  <c r="M19" i="4"/>
  <c r="M16" i="4"/>
  <c r="M18" i="4"/>
  <c r="M17" i="4"/>
  <c r="M15" i="4"/>
  <c r="M14" i="4"/>
  <c r="M13" i="4"/>
  <c r="M12" i="4"/>
  <c r="M11" i="4"/>
  <c r="X18" i="7" l="1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26" i="7" l="1"/>
  <c r="J26" i="7"/>
  <c r="O25" i="7"/>
  <c r="K25" i="7"/>
  <c r="F25" i="7"/>
  <c r="O24" i="7"/>
  <c r="K24" i="7"/>
  <c r="F24" i="7"/>
  <c r="O23" i="7"/>
  <c r="K23" i="7"/>
  <c r="F23" i="7"/>
  <c r="O22" i="7"/>
  <c r="K22" i="7"/>
  <c r="F22" i="7"/>
  <c r="H25" i="7"/>
  <c r="P24" i="7"/>
  <c r="L24" i="7"/>
  <c r="H24" i="7"/>
  <c r="P23" i="7"/>
  <c r="L23" i="7"/>
  <c r="H23" i="7"/>
  <c r="M26" i="7"/>
  <c r="I26" i="7"/>
  <c r="N25" i="7"/>
  <c r="J25" i="7"/>
  <c r="N24" i="7"/>
  <c r="J24" i="7"/>
  <c r="N23" i="7"/>
  <c r="J23" i="7"/>
  <c r="N22" i="7"/>
  <c r="J22" i="7"/>
  <c r="P25" i="7"/>
  <c r="L25" i="7"/>
  <c r="L22" i="7"/>
  <c r="P26" i="7"/>
  <c r="L26" i="7"/>
  <c r="H26" i="7"/>
  <c r="M25" i="7"/>
  <c r="I25" i="7"/>
  <c r="M24" i="7"/>
  <c r="I24" i="7"/>
  <c r="M23" i="7"/>
  <c r="I23" i="7"/>
  <c r="M22" i="7"/>
  <c r="I22" i="7"/>
  <c r="O26" i="7"/>
  <c r="K26" i="7"/>
  <c r="F26" i="7"/>
  <c r="P22" i="7"/>
  <c r="H22" i="7"/>
  <c r="O21" i="7"/>
  <c r="K21" i="7"/>
  <c r="F21" i="7"/>
  <c r="M20" i="7"/>
  <c r="I20" i="7"/>
  <c r="O19" i="7"/>
  <c r="K19" i="7"/>
  <c r="F19" i="7"/>
  <c r="M18" i="7"/>
  <c r="I18" i="7"/>
  <c r="O17" i="7"/>
  <c r="K17" i="7"/>
  <c r="F17" i="7"/>
  <c r="M16" i="7"/>
  <c r="I16" i="7"/>
  <c r="O15" i="7"/>
  <c r="K15" i="7"/>
  <c r="F15" i="7"/>
  <c r="M14" i="7"/>
  <c r="I14" i="7"/>
  <c r="O13" i="7"/>
  <c r="K13" i="7"/>
  <c r="F13" i="7"/>
  <c r="M12" i="7"/>
  <c r="I12" i="7"/>
  <c r="N21" i="7"/>
  <c r="J21" i="7"/>
  <c r="P20" i="7"/>
  <c r="L20" i="7"/>
  <c r="H20" i="7"/>
  <c r="N19" i="7"/>
  <c r="J19" i="7"/>
  <c r="P18" i="7"/>
  <c r="L18" i="7"/>
  <c r="H18" i="7"/>
  <c r="N17" i="7"/>
  <c r="J17" i="7"/>
  <c r="P16" i="7"/>
  <c r="L16" i="7"/>
  <c r="H16" i="7"/>
  <c r="N15" i="7"/>
  <c r="J15" i="7"/>
  <c r="P14" i="7"/>
  <c r="L14" i="7"/>
  <c r="H14" i="7"/>
  <c r="N13" i="7"/>
  <c r="J13" i="7"/>
  <c r="P12" i="7"/>
  <c r="L12" i="7"/>
  <c r="H12" i="7"/>
  <c r="M21" i="7"/>
  <c r="I21" i="7"/>
  <c r="O20" i="7"/>
  <c r="K20" i="7"/>
  <c r="F20" i="7"/>
  <c r="H21" i="7"/>
  <c r="M19" i="7"/>
  <c r="O18" i="7"/>
  <c r="F18" i="7"/>
  <c r="I17" i="7"/>
  <c r="K16" i="7"/>
  <c r="M15" i="7"/>
  <c r="O14" i="7"/>
  <c r="F14" i="7"/>
  <c r="I13" i="7"/>
  <c r="K12" i="7"/>
  <c r="N20" i="7"/>
  <c r="L19" i="7"/>
  <c r="N18" i="7"/>
  <c r="P17" i="7"/>
  <c r="H17" i="7"/>
  <c r="J16" i="7"/>
  <c r="L15" i="7"/>
  <c r="N14" i="7"/>
  <c r="P13" i="7"/>
  <c r="H13" i="7"/>
  <c r="J12" i="7"/>
  <c r="P21" i="7"/>
  <c r="J20" i="7"/>
  <c r="I19" i="7"/>
  <c r="K18" i="7"/>
  <c r="M17" i="7"/>
  <c r="O16" i="7"/>
  <c r="F16" i="7"/>
  <c r="I15" i="7"/>
  <c r="K14" i="7"/>
  <c r="M13" i="7"/>
  <c r="O12" i="7"/>
  <c r="F12" i="7"/>
  <c r="L21" i="7"/>
  <c r="P19" i="7"/>
  <c r="H19" i="7"/>
  <c r="J18" i="7"/>
  <c r="L17" i="7"/>
  <c r="N16" i="7"/>
  <c r="P15" i="7"/>
  <c r="H15" i="7"/>
  <c r="J14" i="7"/>
  <c r="L13" i="7"/>
  <c r="N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23" i="7" l="1"/>
  <c r="Q25" i="7"/>
  <c r="Q22" i="7"/>
  <c r="Q24" i="7"/>
  <c r="C26" i="7"/>
  <c r="C22" i="7"/>
  <c r="C25" i="7"/>
  <c r="C24" i="7"/>
  <c r="C23" i="7"/>
  <c r="Q26" i="7"/>
  <c r="Q18" i="7"/>
  <c r="Q13" i="7"/>
  <c r="Q15" i="7"/>
  <c r="Q11" i="7"/>
  <c r="Q20" i="7"/>
  <c r="Q12" i="7"/>
  <c r="Q16" i="7"/>
  <c r="Q21" i="7"/>
  <c r="Q19" i="7"/>
  <c r="Q14" i="7"/>
  <c r="Q17" i="7"/>
  <c r="C20" i="7"/>
  <c r="C14" i="7"/>
  <c r="C12" i="7"/>
  <c r="C19" i="7"/>
  <c r="C16" i="7"/>
  <c r="C15" i="7"/>
  <c r="C17" i="7"/>
  <c r="C13" i="7"/>
  <c r="C18" i="7"/>
  <c r="C21" i="7"/>
</calcChain>
</file>

<file path=xl/sharedStrings.xml><?xml version="1.0" encoding="utf-8"?>
<sst xmlns="http://schemas.openxmlformats.org/spreadsheetml/2006/main" count="1376" uniqueCount="681">
  <si>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</si>
  <si>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</si>
  <si>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</si>
  <si>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</si>
  <si>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</si>
  <si>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</si>
  <si>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</si>
  <si>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</si>
  <si>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</si>
  <si>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</si>
  <si>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</si>
  <si>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</si>
  <si>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</si>
  <si>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</si>
  <si>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</si>
  <si>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</si>
  <si>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</si>
  <si>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</si>
  <si>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</si>
  <si>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</si>
  <si>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</si>
  <si>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</si>
  <si>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</si>
  <si>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</si>
  <si>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</si>
  <si>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</si>
  <si>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</si>
  <si>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</si>
  <si>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</si>
  <si>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</si>
  <si>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</si>
  <si>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</si>
  <si>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</si>
  <si>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</si>
  <si>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</si>
  <si>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</si>
  <si>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</si>
  <si>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</si>
  <si>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</si>
  <si>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</si>
  <si>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</si>
  <si>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</si>
  <si>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</si>
  <si>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</si>
  <si>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</si>
  <si>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</si>
  <si>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</si>
  <si>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</si>
  <si>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</si>
  <si>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</si>
  <si>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</si>
  <si>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</si>
  <si>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</si>
  <si>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</si>
  <si>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</si>
  <si>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</si>
  <si>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</si>
  <si>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</si>
  <si>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</si>
  <si>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</si>
  <si>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</si>
  <si>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</si>
  <si>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</si>
  <si>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</si>
  <si>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</si>
  <si>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</si>
  <si>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</si>
  <si>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</si>
  <si>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</si>
  <si>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</si>
  <si>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</si>
  <si>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</si>
  <si>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</si>
  <si>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</si>
  <si>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</si>
  <si>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</si>
  <si>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</si>
  <si>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</si>
  <si>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</si>
  <si>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</si>
  <si>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</si>
  <si>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</si>
  <si>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</si>
  <si>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</si>
  <si>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</si>
  <si>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</si>
  <si>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</si>
  <si>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</si>
  <si>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</si>
  <si>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</si>
  <si>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</si>
  <si>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</si>
  <si>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</si>
  <si>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</si>
  <si>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</si>
  <si>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</si>
  <si>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</si>
  <si>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</si>
  <si>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</si>
  <si>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</si>
  <si>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</si>
  <si>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</si>
  <si>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</si>
  <si>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</si>
  <si>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</si>
  <si>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</si>
  <si>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</si>
  <si>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</si>
  <si>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</si>
  <si>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</si>
  <si>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</si>
  <si>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</si>
  <si>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</si>
  <si>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</si>
  <si>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</si>
  <si>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</si>
  <si>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</si>
  <si>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</si>
  <si>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</si>
  <si>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</si>
  <si>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</si>
  <si>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</si>
  <si>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</si>
  <si>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</si>
  <si>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</si>
  <si>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</si>
  <si>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</si>
  <si>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</si>
  <si>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</si>
  <si>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</si>
  <si>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</si>
  <si>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</si>
  <si>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</si>
  <si>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</si>
  <si>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</si>
  <si>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</si>
  <si>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</si>
  <si>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</si>
  <si>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</si>
  <si>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</si>
  <si>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</si>
  <si>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</si>
  <si>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</si>
  <si>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</si>
  <si>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</si>
  <si>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</si>
  <si>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</si>
  <si>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</si>
  <si>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</si>
  <si>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</si>
  <si>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</si>
  <si>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</si>
  <si>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</si>
  <si>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</si>
  <si>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</si>
  <si>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</si>
  <si>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</si>
  <si>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</si>
  <si>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</si>
  <si>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</si>
  <si>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</si>
  <si>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</si>
  <si>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</si>
  <si>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</si>
  <si>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</si>
  <si>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</si>
  <si>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</si>
  <si>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</si>
  <si>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</si>
  <si>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</si>
  <si>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</si>
  <si>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</si>
  <si>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</si>
  <si>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</si>
  <si>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</si>
  <si>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</si>
  <si>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</si>
  <si>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</si>
  <si>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</si>
  <si>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</si>
  <si>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</si>
  <si>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</si>
  <si>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</si>
  <si>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</si>
  <si>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</si>
  <si>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</si>
  <si>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</si>
  <si>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</si>
  <si>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</si>
  <si>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</si>
  <si>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</si>
  <si>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</si>
  <si>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</si>
  <si>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</si>
  <si>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</si>
  <si>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</si>
  <si>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</si>
  <si>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</si>
  <si>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</si>
  <si>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</si>
  <si>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</si>
  <si>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</si>
  <si>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</si>
  <si>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</si>
  <si>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</si>
  <si>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</si>
  <si>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</si>
  <si>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</si>
  <si>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</si>
  <si>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</si>
  <si>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</si>
  <si>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</si>
  <si>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</si>
  <si>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</si>
  <si>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</si>
  <si>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</si>
  <si>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</si>
  <si>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</si>
  <si>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</si>
  <si>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</si>
  <si>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</si>
  <si>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</si>
  <si>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</si>
  <si>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</si>
  <si>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</si>
  <si>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</si>
  <si>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</si>
  <si>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</si>
  <si>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</si>
  <si>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</si>
  <si>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</si>
  <si>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</si>
  <si>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</si>
  <si>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</si>
  <si>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</si>
  <si>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</si>
  <si>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</si>
  <si>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</si>
  <si>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</si>
  <si>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</si>
  <si>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</si>
  <si>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</si>
  <si>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</si>
  <si>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</si>
  <si>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</si>
  <si>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</si>
  <si>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</si>
  <si>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</si>
  <si>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</si>
  <si>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</si>
  <si>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</si>
  <si>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</si>
  <si>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</si>
  <si>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</si>
  <si>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</si>
  <si>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</si>
  <si>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</si>
  <si>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</si>
  <si>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</si>
  <si>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</si>
  <si>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</si>
  <si>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</si>
  <si>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</si>
  <si>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</si>
  <si>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</si>
  <si>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</si>
  <si>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</si>
  <si>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</si>
  <si>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</si>
  <si>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</si>
  <si>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</si>
  <si>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</si>
  <si>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</si>
  <si>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</si>
  <si>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</si>
  <si>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</si>
  <si>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</si>
  <si>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</si>
  <si>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</si>
  <si>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</si>
  <si>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</si>
  <si>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</si>
  <si>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</si>
  <si>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</si>
  <si>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</si>
  <si>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</si>
  <si>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</si>
  <si>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</si>
  <si>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</si>
  <si>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</si>
  <si>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</si>
  <si>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</si>
  <si>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</si>
  <si>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</si>
  <si>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</si>
  <si>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</si>
  <si>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</si>
  <si>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</si>
  <si>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</si>
  <si>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</si>
  <si>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</si>
  <si>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</si>
  <si>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</si>
  <si>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</si>
  <si>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</si>
  <si>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</si>
  <si>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</si>
  <si>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</si>
  <si>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</si>
  <si>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</si>
  <si>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</si>
  <si>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</si>
  <si>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</si>
  <si>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</si>
  <si>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</si>
  <si>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</si>
  <si>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</si>
  <si>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</si>
  <si>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</si>
  <si>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</si>
  <si>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</si>
  <si>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</si>
  <si>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</si>
  <si>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</si>
  <si>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</si>
  <si>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</si>
  <si>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</si>
  <si>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</si>
  <si>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</si>
  <si>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</si>
  <si>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</si>
  <si>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</si>
  <si>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</si>
  <si>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</si>
  <si>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</si>
  <si>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</si>
  <si>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</si>
  <si>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</si>
  <si>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</si>
  <si>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</si>
  <si>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</si>
  <si>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</si>
  <si>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</si>
  <si>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</si>
  <si>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</si>
  <si>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</si>
  <si>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</si>
  <si>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</si>
  <si>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</si>
  <si>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</si>
  <si>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</si>
  <si>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</si>
  <si>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</si>
  <si>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</si>
  <si>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</si>
  <si>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</si>
  <si>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</si>
  <si>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</si>
  <si>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</si>
  <si>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</si>
  <si>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</si>
  <si>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</si>
  <si>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</si>
  <si>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</si>
  <si>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</si>
  <si>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</si>
  <si>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</si>
  <si>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</si>
  <si>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</si>
  <si>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</si>
  <si>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</si>
  <si>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</si>
  <si>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</si>
  <si>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</si>
  <si>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</si>
  <si>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</si>
  <si>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</si>
  <si>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</si>
  <si>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</si>
  <si>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</si>
  <si>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</si>
  <si>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</si>
  <si>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</si>
  <si>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</si>
  <si>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</si>
  <si>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</si>
  <si>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</si>
  <si>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</si>
  <si>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</si>
  <si>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</si>
  <si>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</si>
  <si>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</si>
  <si>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</si>
  <si>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</si>
  <si>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</si>
  <si>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</si>
  <si>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</si>
  <si>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</si>
  <si>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</si>
  <si>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</si>
  <si>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</si>
  <si>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</si>
  <si>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</si>
  <si>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</si>
  <si>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</si>
  <si>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</si>
  <si>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</si>
  <si>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</si>
  <si>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</si>
  <si>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</si>
  <si>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</si>
  <si>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</si>
  <si>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</si>
  <si>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</si>
  <si>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</si>
  <si>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</si>
  <si>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</si>
  <si>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</si>
  <si>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</si>
  <si>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</si>
  <si>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</si>
  <si>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</si>
  <si>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</si>
  <si>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</si>
  <si>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</si>
  <si>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</si>
  <si>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</si>
  <si>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</si>
  <si>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</si>
  <si>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</si>
  <si>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</si>
  <si>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</si>
  <si>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</si>
  <si>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</si>
  <si>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</si>
  <si>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</si>
  <si>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</si>
  <si>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</si>
  <si>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</si>
  <si>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</si>
  <si>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</si>
  <si>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</si>
  <si>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</si>
  <si>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</si>
  <si>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</si>
  <si>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</si>
  <si>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</si>
  <si>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</si>
  <si>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</si>
  <si>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</si>
  <si>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</si>
  <si>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</si>
  <si>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</si>
  <si>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</si>
  <si>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</si>
  <si>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</si>
  <si>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</si>
  <si>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</si>
  <si>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</si>
  <si>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</si>
  <si>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</si>
  <si>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</si>
  <si>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</si>
  <si>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</si>
  <si>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</si>
  <si>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</si>
  <si>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</si>
  <si>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</si>
  <si>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</si>
  <si>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</si>
  <si>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</si>
  <si>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</si>
  <si>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</si>
  <si>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</si>
  <si>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</si>
  <si>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</si>
  <si>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</si>
  <si>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</si>
  <si>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</si>
  <si>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</si>
  <si>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</si>
  <si>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</si>
  <si>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</si>
  <si>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</si>
  <si>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</si>
  <si>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</si>
  <si>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</si>
  <si>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</si>
  <si>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</si>
  <si>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</si>
  <si>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</si>
  <si>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</si>
  <si>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</si>
  <si>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</si>
  <si>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</si>
  <si>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</si>
  <si>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</si>
  <si>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</si>
  <si>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</si>
  <si>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</si>
  <si>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</si>
  <si>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</si>
  <si>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</si>
  <si>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</si>
  <si>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</si>
  <si>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</si>
  <si>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</si>
  <si>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</si>
  <si>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</si>
  <si>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</si>
  <si>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</si>
  <si>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</si>
  <si>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</si>
  <si>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</si>
  <si>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</si>
  <si>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</si>
  <si>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</si>
  <si>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</si>
  <si>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</si>
  <si>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</si>
  <si>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</si>
  <si>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</si>
  <si>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</si>
  <si>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</si>
  <si>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</si>
  <si>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</si>
  <si>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</si>
  <si>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</si>
  <si>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</si>
  <si>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</si>
  <si>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</si>
  <si>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</si>
  <si>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</si>
  <si>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</si>
  <si>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</si>
  <si>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</si>
  <si>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</si>
  <si>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</si>
  <si>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</si>
  <si>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</si>
  <si>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</si>
  <si>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</si>
  <si>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</si>
  <si>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</si>
  <si>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</si>
  <si>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</si>
  <si>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</si>
  <si>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</si>
  <si>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</si>
  <si>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</si>
  <si>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</si>
  <si>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</si>
  <si>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</si>
  <si>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</si>
  <si>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</si>
  <si>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</si>
  <si>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</si>
  <si>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</si>
  <si>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</si>
  <si>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</si>
  <si>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</si>
  <si>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</si>
  <si>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</si>
  <si>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</si>
  <si>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</si>
  <si>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</si>
  <si>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</si>
  <si>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</si>
  <si>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</si>
  <si>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</si>
  <si>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</si>
  <si>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</si>
  <si>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</si>
  <si>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</si>
  <si>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</si>
  <si>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</si>
  <si>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</si>
  <si>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</si>
  <si>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</si>
  <si>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</si>
  <si>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</si>
  <si>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</si>
  <si>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</si>
  <si>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</si>
  <si>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</si>
  <si>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</si>
  <si>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</si>
  <si>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</si>
  <si>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</si>
  <si>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</si>
  <si>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</si>
  <si>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</si>
  <si>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</si>
  <si>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</si>
  <si>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</si>
  <si>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</si>
  <si>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</si>
  <si>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</si>
  <si>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</si>
  <si>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</si>
  <si>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</si>
  <si>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</si>
  <si>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</si>
  <si>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</si>
  <si>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</si>
  <si>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</si>
  <si>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</si>
  <si>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</si>
  <si>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</si>
  <si>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</si>
  <si>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</si>
  <si>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</si>
  <si>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</si>
  <si>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</si>
  <si>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</si>
  <si>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</si>
  <si>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</si>
  <si>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</si>
  <si>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</si>
  <si>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</si>
  <si>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</si>
  <si>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</si>
  <si>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</si>
  <si>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</si>
  <si>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</si>
  <si>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</si>
  <si>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</si>
  <si>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</si>
  <si>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</si>
  <si>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</si>
  <si>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</si>
  <si>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</si>
  <si>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</si>
  <si>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</si>
  <si>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</si>
  <si>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</si>
  <si>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</si>
  <si>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</si>
  <si>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</si>
  <si>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</si>
  <si>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</si>
  <si>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</si>
  <si>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</si>
  <si>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</si>
  <si>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</si>
  <si>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</si>
  <si>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</si>
  <si>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</si>
  <si>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</si>
  <si>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</si>
  <si>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</si>
  <si>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</si>
  <si>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</si>
  <si>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</si>
  <si>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</si>
  <si>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</si>
  <si>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DE_GBA04</t>
  </si>
  <si>
    <t>9870044800000</t>
  </si>
  <si>
    <t>Nederlandstraße 15</t>
  </si>
  <si>
    <t>Blomberg</t>
  </si>
  <si>
    <t>netz-service@bvb-blomberg.de</t>
  </si>
  <si>
    <t>GASPOOLNH7004481</t>
  </si>
  <si>
    <t>Bad Salzuflen</t>
  </si>
  <si>
    <t>Meteomedia</t>
  </si>
  <si>
    <t>DE_GBH03</t>
  </si>
  <si>
    <t>DE_GKO03</t>
  </si>
  <si>
    <t>DE_HEF03</t>
  </si>
  <si>
    <t>DE_GBD03</t>
  </si>
  <si>
    <t>DE_GGA03</t>
  </si>
  <si>
    <t>DE_GHA03</t>
  </si>
  <si>
    <t>DE_GGB03</t>
  </si>
  <si>
    <t>DE_HMF03</t>
  </si>
  <si>
    <t>DE_GMF03</t>
  </si>
  <si>
    <t>DE_GMK03</t>
  </si>
  <si>
    <t>DE_GPD03</t>
  </si>
  <si>
    <t>DE_GHD03</t>
  </si>
  <si>
    <t>DE_GWA03</t>
  </si>
  <si>
    <t>DE_GBA03</t>
  </si>
  <si>
    <t>Blomberg Netz GmbH &amp; Co. KG</t>
  </si>
  <si>
    <t>David Mahrenholz</t>
  </si>
  <si>
    <t>+49 5235 / 9502 3054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</si>
</sst>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2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4" fillId="0" borderId="1" applyNumberFormat="0" applyFill="0" applyAlignment="0" applyProtection="0"/>
    <xf numFmtId="0" fontId="37" fillId="0" borderId="33" applyNumberFormat="0" applyFill="0" applyAlignment="0" applyProtection="0"/>
    <xf numFmtId="0" fontId="5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2" fillId="0" borderId="0"/>
    <xf numFmtId="0" fontId="8" fillId="0" borderId="0"/>
    <xf numFmtId="0" fontId="32" fillId="0" borderId="0"/>
    <xf numFmtId="0" fontId="32" fillId="0" borderId="0"/>
    <xf numFmtId="0" fontId="5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5" fillId="0" borderId="64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center" vertical="center"/>
    </xf>
    <xf numFmtId="0" fontId="7" fillId="0" borderId="61" xfId="0" applyFont="1" applyBorder="1" applyProtection="1"/>
    <xf numFmtId="0" fontId="12" fillId="0" borderId="56" xfId="3" applyFont="1" applyBorder="1" applyProtection="1"/>
    <xf numFmtId="0" fontId="12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59" xfId="0" applyFont="1" applyBorder="1" applyProtection="1"/>
    <xf numFmtId="0" fontId="0" fillId="0" borderId="60" xfId="0" applyFont="1" applyBorder="1" applyProtection="1"/>
    <xf numFmtId="0" fontId="12" fillId="0" borderId="57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4" fontId="81" fillId="34" borderId="24" xfId="3" applyNumberFormat="1" applyFont="1" applyFill="1" applyBorder="1" applyAlignment="1" applyProtection="1">
      <alignment horizontal="center" vertical="center"/>
    </xf>
    <xf numFmtId="164" fontId="81" fillId="34" borderId="69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3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8" xfId="0" applyFont="1" applyFill="1" applyBorder="1" applyAlignment="1" applyProtection="1">
      <alignment horizontal="center" vertical="center"/>
      <protection locked="0"/>
    </xf>
    <xf numFmtId="0" fontId="76" fillId="0" borderId="74" xfId="3" applyFont="1" applyBorder="1" applyAlignment="1" applyProtection="1">
      <alignment horizontal="center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Alignment="1" applyProtection="1">
      <protection hidden="1"/>
    </xf>
    <xf numFmtId="0" fontId="12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2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0" fillId="33" borderId="17" xfId="0" quotePrefix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L15" sqref="L15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9" t="s">
        <v>466</v>
      </c>
    </row>
    <row r="3" spans="2:7"/>
    <row r="4" spans="2:7">
      <c r="B4" s="8" t="s">
        <v>461</v>
      </c>
    </row>
    <row r="5" spans="2:7">
      <c r="B5" s="8" t="s">
        <v>462</v>
      </c>
    </row>
    <row r="6" spans="2:7"/>
    <row r="7" spans="2:7">
      <c r="B7" t="s">
        <v>339</v>
      </c>
    </row>
    <row r="8" spans="2:7" s="8" customFormat="1">
      <c r="B8" s="8" t="s">
        <v>463</v>
      </c>
    </row>
    <row r="9" spans="2:7" s="8" customFormat="1"/>
    <row r="10" spans="2:7" s="8" customFormat="1">
      <c r="B10" s="14" t="s">
        <v>448</v>
      </c>
    </row>
    <row r="11" spans="2:7" s="8" customFormat="1">
      <c r="B11" s="8" t="s">
        <v>499</v>
      </c>
    </row>
    <row r="12" spans="2:7" s="8" customFormat="1">
      <c r="B12" s="8" t="s">
        <v>500</v>
      </c>
    </row>
    <row r="13" spans="2:7" s="8" customFormat="1">
      <c r="B13" s="8" t="s">
        <v>506</v>
      </c>
    </row>
    <row r="14" spans="2:7" s="8" customFormat="1"/>
    <row r="15" spans="2:7">
      <c r="B15" s="20" t="s">
        <v>465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464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42205</v>
      </c>
      <c r="E29" s="8"/>
      <c r="F29" s="8"/>
      <c r="G29" s="8"/>
      <c r="H29" s="8"/>
    </row>
    <row r="30" spans="2:12">
      <c r="B30" s="21" t="s">
        <v>349</v>
      </c>
      <c r="C30" s="327" t="s">
        <v>649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4" sqref="D4"/>
    </sheetView>
  </sheetViews>
  <sheetFormatPr baseColWidth="10" defaultColWidth="0" defaultRowHeight="14.4" zeroHeight="1"/>
  <cols>
    <col min="1" max="1" width="2.88671875" style="8" customWidth="1"/>
    <col min="2" max="2" width="5.88671875" style="2" customWidth="1"/>
    <col min="3" max="3" width="65" customWidth="1"/>
    <col min="4" max="4" width="49.1093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75" customHeight="1"/>
    <row r="2" spans="1:8" s="8" customFormat="1" ht="23.4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653</v>
      </c>
      <c r="D4" s="27">
        <v>43836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652</v>
      </c>
      <c r="D6" s="27">
        <v>43831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678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486</v>
      </c>
      <c r="D11" s="331" t="s">
        <v>657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32825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659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679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660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342" t="s">
        <v>680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487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460</v>
      </c>
      <c r="D27" s="42" t="s">
        <v>397</v>
      </c>
      <c r="E27" s="39"/>
      <c r="F27" s="11"/>
    </row>
    <row r="28" spans="1:15">
      <c r="B28" s="15"/>
      <c r="C28" s="65" t="s">
        <v>502</v>
      </c>
      <c r="D28" s="48" t="str">
        <f>IF(D27&lt;&gt;C28,VLOOKUP(D27,$C$29:$D$48,2,FALSE),C28)</f>
        <v>Blomberg</v>
      </c>
      <c r="E28" s="38"/>
      <c r="F28" s="11"/>
      <c r="G28" s="2"/>
    </row>
    <row r="29" spans="1:15">
      <c r="B29" s="15"/>
      <c r="C29" s="22" t="s">
        <v>397</v>
      </c>
      <c r="D29" s="45" t="s">
        <v>659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421</v>
      </c>
      <c r="D31" s="46"/>
      <c r="E31" s="40"/>
      <c r="F31" s="47"/>
      <c r="G31" s="2"/>
    </row>
    <row r="32" spans="1:15">
      <c r="B32" s="15"/>
      <c r="C32" s="22" t="s">
        <v>422</v>
      </c>
      <c r="D32" s="46"/>
      <c r="E32" s="40"/>
      <c r="F32" s="47"/>
      <c r="G32" s="2"/>
    </row>
    <row r="33" spans="2:7">
      <c r="B33" s="15"/>
      <c r="C33" s="22" t="s">
        <v>423</v>
      </c>
      <c r="D33" s="45"/>
      <c r="E33" s="40"/>
      <c r="F33" s="47"/>
      <c r="G33" s="2"/>
    </row>
    <row r="34" spans="2:7">
      <c r="B34" s="15"/>
      <c r="C34" s="22" t="s">
        <v>424</v>
      </c>
      <c r="D34" s="46"/>
      <c r="E34" s="40"/>
      <c r="F34" s="47"/>
      <c r="G34" s="2"/>
    </row>
    <row r="35" spans="2:7">
      <c r="B35" s="15"/>
      <c r="C35" s="22" t="s">
        <v>425</v>
      </c>
      <c r="D35" s="46"/>
      <c r="E35" s="40"/>
      <c r="F35" s="47"/>
      <c r="G35" s="2"/>
    </row>
    <row r="36" spans="2:7">
      <c r="B36" s="15"/>
      <c r="C36" s="22" t="s">
        <v>426</v>
      </c>
      <c r="D36" s="46"/>
      <c r="E36" s="40"/>
      <c r="F36" s="47"/>
      <c r="G36" s="2"/>
    </row>
    <row r="37" spans="2:7">
      <c r="B37" s="15"/>
      <c r="C37" s="22" t="s">
        <v>427</v>
      </c>
      <c r="D37" s="46"/>
      <c r="E37" s="40"/>
      <c r="F37" s="47"/>
      <c r="G37" s="2"/>
    </row>
    <row r="38" spans="2:7">
      <c r="B38" s="15"/>
      <c r="C38" s="22" t="s">
        <v>432</v>
      </c>
      <c r="D38" s="46"/>
      <c r="E38" s="40"/>
      <c r="F38" s="47"/>
      <c r="G38" s="2"/>
    </row>
    <row r="39" spans="2:7">
      <c r="B39" s="15"/>
      <c r="C39" s="22" t="s">
        <v>433</v>
      </c>
      <c r="D39" s="46"/>
      <c r="E39" s="40"/>
      <c r="F39" s="47"/>
      <c r="G39" s="2"/>
    </row>
    <row r="40" spans="2:7">
      <c r="B40" s="15"/>
      <c r="C40" s="22" t="s">
        <v>434</v>
      </c>
      <c r="D40" s="46"/>
      <c r="E40" s="40"/>
      <c r="F40" s="47"/>
      <c r="G40" s="2"/>
    </row>
    <row r="41" spans="2:7">
      <c r="B41" s="15"/>
      <c r="C41" s="22" t="s">
        <v>435</v>
      </c>
      <c r="D41" s="46"/>
      <c r="E41" s="40"/>
      <c r="F41" s="47"/>
      <c r="G41" s="2"/>
    </row>
    <row r="42" spans="2:7">
      <c r="B42" s="15"/>
      <c r="C42" s="22" t="s">
        <v>436</v>
      </c>
      <c r="D42" s="46"/>
      <c r="E42" s="40"/>
      <c r="F42" s="47"/>
      <c r="G42" s="2"/>
    </row>
    <row r="43" spans="2:7">
      <c r="B43" s="15"/>
      <c r="C43" s="22" t="s">
        <v>437</v>
      </c>
      <c r="D43" s="46"/>
      <c r="E43" s="40"/>
      <c r="F43" s="47"/>
      <c r="G43" s="2"/>
    </row>
    <row r="44" spans="2:7">
      <c r="B44" s="15"/>
      <c r="C44" s="22" t="s">
        <v>438</v>
      </c>
      <c r="D44" s="46"/>
      <c r="E44" s="40"/>
      <c r="F44" s="47"/>
      <c r="G44" s="2"/>
    </row>
    <row r="45" spans="2:7">
      <c r="B45" s="15"/>
      <c r="C45" s="22" t="s">
        <v>439</v>
      </c>
      <c r="D45" s="46"/>
      <c r="E45" s="40"/>
      <c r="F45" s="47"/>
      <c r="G45" s="2"/>
    </row>
    <row r="46" spans="2:7">
      <c r="B46" s="15"/>
      <c r="C46" s="22" t="s">
        <v>440</v>
      </c>
      <c r="D46" s="46"/>
      <c r="E46" s="40"/>
      <c r="F46" s="47"/>
    </row>
    <row r="47" spans="2:7">
      <c r="B47" s="15"/>
      <c r="C47" s="22" t="s">
        <v>441</v>
      </c>
      <c r="D47" s="46"/>
      <c r="E47" s="40"/>
      <c r="F47" s="47"/>
    </row>
    <row r="48" spans="2:7">
      <c r="B48" s="15"/>
      <c r="C48" s="22" t="s">
        <v>442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69" priority="2">
      <formula>IF(CELL("Zeile",D29)&lt;$D$25+CELL("Zeile",$D$29),1,0)</formula>
    </cfRule>
  </conditionalFormatting>
  <conditionalFormatting sqref="D30:D48">
    <cfRule type="expression" dxfId="6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22" zoomScale="80" zoomScaleNormal="80" workbookViewId="0">
      <selection activeCell="C48" sqref="C48:D48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3.1093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5" customHeight="1"/>
    <row r="2" spans="2:15" ht="23.4">
      <c r="B2" s="9" t="s">
        <v>269</v>
      </c>
    </row>
    <row r="3" spans="2:15" ht="14.4"/>
    <row r="4" spans="2:15" ht="14.4">
      <c r="B4" s="15"/>
      <c r="C4" s="15"/>
      <c r="D4" s="15"/>
      <c r="E4" s="15"/>
    </row>
    <row r="5" spans="2:15" ht="15" customHeight="1">
      <c r="B5" s="22"/>
      <c r="C5" s="56" t="s">
        <v>446</v>
      </c>
      <c r="D5" s="58" t="str">
        <f>Netzbetreiber!$D$9</f>
        <v>Blomberg Netz GmbH &amp; Co. KG</v>
      </c>
      <c r="H5" s="67"/>
      <c r="I5" s="67"/>
      <c r="J5" s="67"/>
      <c r="K5" s="67"/>
    </row>
    <row r="6" spans="2:15" ht="15" customHeight="1">
      <c r="B6" s="22"/>
      <c r="C6" s="61" t="s">
        <v>445</v>
      </c>
      <c r="D6" s="58" t="str">
        <f>Netzbetreiber!D28</f>
        <v>Blomberg</v>
      </c>
      <c r="E6" s="15"/>
      <c r="H6" s="67"/>
      <c r="I6" s="67"/>
      <c r="J6" s="67"/>
      <c r="K6" s="67"/>
    </row>
    <row r="7" spans="2:15" ht="15" customHeight="1">
      <c r="B7" s="22"/>
      <c r="C7" s="60" t="s">
        <v>488</v>
      </c>
      <c r="D7" s="328" t="str">
        <f>Netzbetreiber!$D$11</f>
        <v>9870044800000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43831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614</v>
      </c>
      <c r="D13" s="33" t="s">
        <v>615</v>
      </c>
      <c r="E13" s="15"/>
      <c r="H13" s="271" t="s">
        <v>615</v>
      </c>
      <c r="I13" s="271" t="s">
        <v>616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431</v>
      </c>
      <c r="D15" s="42" t="s">
        <v>337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430</v>
      </c>
      <c r="D16" s="42" t="s">
        <v>661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370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574</v>
      </c>
      <c r="I19" s="270" t="s">
        <v>489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490</v>
      </c>
      <c r="I20" s="270" t="s">
        <v>491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612</v>
      </c>
      <c r="D22" s="49" t="s">
        <v>608</v>
      </c>
      <c r="E22" s="15"/>
      <c r="H22" s="267" t="s">
        <v>608</v>
      </c>
      <c r="I22" s="267" t="s">
        <v>609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610</v>
      </c>
      <c r="E23" s="15"/>
      <c r="H23" s="267" t="s">
        <v>611</v>
      </c>
      <c r="I23" s="8" t="s">
        <v>607</v>
      </c>
      <c r="J23" s="8"/>
      <c r="K23" s="8"/>
      <c r="L23" s="268"/>
    </row>
    <row r="24" spans="2:16" ht="15" customHeight="1">
      <c r="B24" s="22"/>
      <c r="C24" s="24" t="s">
        <v>613</v>
      </c>
      <c r="D24" s="24" t="str">
        <f>IF(D22=$H$22,L24,IF(D23=$H$24,M24,N24))</f>
        <v>=&gt;  Q(D) = KW  x  h(T, SLP-Typ)  x  F(WT)</v>
      </c>
      <c r="E24" s="15"/>
      <c r="H24" s="267" t="s">
        <v>610</v>
      </c>
      <c r="I24" s="267" t="s">
        <v>617</v>
      </c>
      <c r="J24" s="8"/>
      <c r="K24" s="8"/>
      <c r="L24" s="270" t="s">
        <v>618</v>
      </c>
      <c r="M24" s="270" t="s">
        <v>620</v>
      </c>
      <c r="N24" s="270" t="s">
        <v>619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372</v>
      </c>
      <c r="C26" s="6" t="s">
        <v>577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621</v>
      </c>
      <c r="D27" s="42" t="s">
        <v>622</v>
      </c>
      <c r="E27" s="15"/>
      <c r="H27" s="297" t="s">
        <v>622</v>
      </c>
      <c r="I27" s="269" t="s">
        <v>623</v>
      </c>
      <c r="J27" s="269" t="s">
        <v>624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625</v>
      </c>
      <c r="I28" s="270" t="s">
        <v>626</v>
      </c>
      <c r="J28" s="270" t="s">
        <v>627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628</v>
      </c>
      <c r="I29" s="270" t="s">
        <v>629</v>
      </c>
      <c r="J29" s="270" t="s">
        <v>630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494</v>
      </c>
      <c r="C31" s="6" t="s">
        <v>576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631</v>
      </c>
      <c r="I32" s="270" t="s">
        <v>632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633</v>
      </c>
      <c r="I33" s="267" t="s">
        <v>628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548</v>
      </c>
      <c r="C35" s="24" t="s">
        <v>496</v>
      </c>
      <c r="D35" s="42">
        <v>15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549</v>
      </c>
      <c r="C37" s="5" t="s">
        <v>367</v>
      </c>
      <c r="D37" s="34">
        <v>1500000</v>
      </c>
      <c r="E37" s="15" t="s">
        <v>507</v>
      </c>
      <c r="I37" s="267"/>
      <c r="J37" s="267"/>
      <c r="K37" s="267"/>
      <c r="L37" s="267"/>
      <c r="M37" s="268"/>
    </row>
    <row r="38" spans="2:39" customFormat="1" ht="15" customHeight="1">
      <c r="C38" s="8" t="s">
        <v>492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550</v>
      </c>
      <c r="C40" s="5" t="s">
        <v>368</v>
      </c>
      <c r="D40" s="36">
        <v>500</v>
      </c>
      <c r="E40" s="15" t="s">
        <v>540</v>
      </c>
      <c r="H40" s="67"/>
      <c r="I40" s="67"/>
      <c r="J40" s="67"/>
      <c r="K40" s="67"/>
    </row>
    <row r="41" spans="2:39" ht="15" customHeight="1">
      <c r="C41" s="8" t="s">
        <v>493</v>
      </c>
    </row>
    <row r="42" spans="2:39" ht="15" customHeight="1">
      <c r="B42" s="7"/>
      <c r="C42" s="3"/>
    </row>
    <row r="43" spans="2:39" ht="15" customHeight="1">
      <c r="B43" s="7"/>
      <c r="C43" s="3" t="s">
        <v>539</v>
      </c>
    </row>
    <row r="44" spans="2:39" ht="18" customHeight="1">
      <c r="C44" s="3" t="s">
        <v>541</v>
      </c>
    </row>
    <row r="45" spans="2:39" ht="18" customHeight="1">
      <c r="C45" s="3"/>
    </row>
    <row r="46" spans="2:39" ht="15" customHeight="1">
      <c r="B46" s="22" t="s">
        <v>551</v>
      </c>
      <c r="C46" s="60" t="s">
        <v>575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585</v>
      </c>
      <c r="D48" s="45" t="s">
        <v>662</v>
      </c>
    </row>
    <row r="49" spans="3:4" ht="18" customHeight="1">
      <c r="C49" s="22" t="s">
        <v>586</v>
      </c>
      <c r="D49" s="45"/>
    </row>
    <row r="50" spans="3:4" ht="18" customHeight="1">
      <c r="C50" s="22" t="s">
        <v>587</v>
      </c>
      <c r="D50" s="45"/>
    </row>
    <row r="51" spans="3:4" ht="18" customHeight="1">
      <c r="C51" s="22" t="s">
        <v>588</v>
      </c>
      <c r="D51" s="45"/>
    </row>
    <row r="52" spans="3:4" ht="18" customHeight="1">
      <c r="C52" s="22" t="s">
        <v>589</v>
      </c>
      <c r="D52" s="45"/>
    </row>
    <row r="53" spans="3:4" ht="18" customHeight="1">
      <c r="C53" s="22" t="s">
        <v>590</v>
      </c>
      <c r="D53" s="45"/>
    </row>
    <row r="54" spans="3:4" ht="18" customHeight="1">
      <c r="C54" s="22" t="s">
        <v>591</v>
      </c>
      <c r="D54" s="45"/>
    </row>
    <row r="55" spans="3:4" ht="18" customHeight="1">
      <c r="C55" s="22" t="s">
        <v>592</v>
      </c>
      <c r="D55" s="45"/>
    </row>
    <row r="56" spans="3:4" ht="18" customHeight="1">
      <c r="C56" s="22" t="s">
        <v>593</v>
      </c>
      <c r="D56" s="45"/>
    </row>
    <row r="57" spans="3:4" ht="18" customHeight="1">
      <c r="C57" s="22" t="s">
        <v>594</v>
      </c>
      <c r="D57" s="45"/>
    </row>
    <row r="58" spans="3:4" ht="18" customHeight="1">
      <c r="C58" s="22" t="s">
        <v>595</v>
      </c>
      <c r="D58" s="45"/>
    </row>
    <row r="59" spans="3:4" ht="18" customHeight="1">
      <c r="C59" s="22" t="s">
        <v>596</v>
      </c>
      <c r="D59" s="45"/>
    </row>
    <row r="60" spans="3:4" ht="18" customHeight="1">
      <c r="C60" s="22" t="s">
        <v>597</v>
      </c>
      <c r="D60" s="45"/>
    </row>
    <row r="61" spans="3:4" ht="18" customHeight="1">
      <c r="C61" s="22" t="s">
        <v>598</v>
      </c>
      <c r="D61" s="45"/>
    </row>
    <row r="62" spans="3:4" ht="18" customHeight="1">
      <c r="C62" s="22" t="s">
        <v>599</v>
      </c>
      <c r="D62" s="45"/>
    </row>
  </sheetData>
  <sheetProtection sheet="1" objects="1" scenarios="1"/>
  <conditionalFormatting sqref="D15">
    <cfRule type="expression" dxfId="67" priority="22">
      <formula>IF($D$11="Gaspool",1,0)</formula>
    </cfRule>
  </conditionalFormatting>
  <conditionalFormatting sqref="D48:D62">
    <cfRule type="expression" dxfId="66" priority="18">
      <formula>IF(CELL("Zeile",D48)&lt;$D$46+CELL("Zeile",$D$48),1,0)</formula>
    </cfRule>
  </conditionalFormatting>
  <conditionalFormatting sqref="D49:D62">
    <cfRule type="expression" dxfId="65" priority="17">
      <formula>IF(CELL(D49)&lt;$D$36+27,1,0)</formula>
    </cfRule>
  </conditionalFormatting>
  <conditionalFormatting sqref="D23">
    <cfRule type="expression" dxfId="64" priority="16">
      <formula>IF($D$22=$H$22,1,0)</formula>
    </cfRule>
  </conditionalFormatting>
  <conditionalFormatting sqref="D31">
    <cfRule type="expression" dxfId="63" priority="5">
      <formula>IF($D$18="synthetisch",1,0)</formula>
    </cfRule>
  </conditionalFormatting>
  <conditionalFormatting sqref="D28">
    <cfRule type="expression" dxfId="62" priority="3">
      <formula>IF(AND($D$27=$I$27,$D$26=$H$26),1,0)</formula>
    </cfRule>
  </conditionalFormatting>
  <conditionalFormatting sqref="D26:D28">
    <cfRule type="expression" dxfId="61" priority="6">
      <formula>IF($D$18="analytisch",1,0)</formula>
    </cfRule>
  </conditionalFormatting>
  <conditionalFormatting sqref="D27">
    <cfRule type="expression" dxfId="60" priority="4">
      <formula>IF($D$26="nein",1)</formula>
    </cfRule>
  </conditionalFormatting>
  <conditionalFormatting sqref="D16">
    <cfRule type="expression" dxfId="59" priority="1">
      <formula>IF($D$11="NCG",1,0)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O15" sqref="O15"/>
    </sheetView>
  </sheetViews>
  <sheetFormatPr baseColWidth="10" defaultColWidth="0" defaultRowHeight="14.4" zeroHeight="1"/>
  <cols>
    <col min="1" max="1" width="2.88671875" style="127" customWidth="1"/>
    <col min="2" max="2" width="5.44140625" style="127" customWidth="1"/>
    <col min="3" max="3" width="37.5546875" style="127" customWidth="1"/>
    <col min="4" max="4" width="12.5546875" style="127" customWidth="1"/>
    <col min="5" max="14" width="12.6640625" style="127" customWidth="1"/>
    <col min="15" max="15" width="34.109375" style="127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70" t="s">
        <v>543</v>
      </c>
    </row>
    <row r="3" spans="2:56" ht="15" customHeight="1">
      <c r="B3" s="170"/>
    </row>
    <row r="4" spans="2:56">
      <c r="B4" s="129"/>
      <c r="C4" s="56" t="s">
        <v>446</v>
      </c>
      <c r="D4" s="57"/>
      <c r="E4" s="330" t="str">
        <f>Netzbetreiber!D9</f>
        <v>Blomberg Netz GmbH &amp; Co. KG</v>
      </c>
      <c r="F4" s="330"/>
      <c r="G4" s="330"/>
      <c r="M4" s="129"/>
      <c r="N4" s="129"/>
      <c r="O4" s="129"/>
    </row>
    <row r="5" spans="2:56">
      <c r="B5" s="129"/>
      <c r="C5" s="56" t="s">
        <v>445</v>
      </c>
      <c r="D5" s="57"/>
      <c r="E5" s="58" t="str">
        <f>Netzbetreiber!D28</f>
        <v>Blomberg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488</v>
      </c>
      <c r="D6" s="57"/>
      <c r="E6" s="329" t="str">
        <f>Netzbetreiber!D11</f>
        <v>9870044800000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43831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498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522</v>
      </c>
      <c r="D9" s="129"/>
      <c r="E9" s="129"/>
      <c r="F9" s="153">
        <f>'SLP-Verfahren'!D46</f>
        <v>1</v>
      </c>
      <c r="H9" s="171" t="s">
        <v>600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584</v>
      </c>
      <c r="D10" s="129"/>
      <c r="E10" s="129"/>
      <c r="F10" s="49">
        <v>1</v>
      </c>
      <c r="G10" s="57"/>
      <c r="H10" s="171" t="s">
        <v>601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602</v>
      </c>
      <c r="D11" s="129"/>
      <c r="E11" s="129"/>
      <c r="F11" s="333" t="str">
        <f>INDEX('SLP-Verfahren'!D48:D62,'SLP-Temp-Gebiet #01'!F10)</f>
        <v>Bad Salzuflen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3" t="s">
        <v>583</v>
      </c>
      <c r="D13" s="343"/>
      <c r="E13" s="343"/>
      <c r="F13" s="181" t="s">
        <v>547</v>
      </c>
      <c r="G13" s="129" t="s">
        <v>545</v>
      </c>
      <c r="H13" s="261" t="s">
        <v>562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4" t="s">
        <v>449</v>
      </c>
      <c r="D14" s="344"/>
      <c r="E14" s="89" t="s">
        <v>450</v>
      </c>
      <c r="F14" s="262" t="s">
        <v>85</v>
      </c>
      <c r="G14" s="263" t="s">
        <v>571</v>
      </c>
      <c r="H14" s="51">
        <v>0</v>
      </c>
      <c r="I14" s="57"/>
      <c r="J14" s="129"/>
      <c r="K14" s="129"/>
      <c r="L14" s="129"/>
      <c r="M14" s="129"/>
      <c r="N14" s="129"/>
      <c r="O14" s="332" t="s">
        <v>650</v>
      </c>
      <c r="R14" s="207" t="s">
        <v>563</v>
      </c>
      <c r="S14" s="207" t="s">
        <v>564</v>
      </c>
      <c r="T14" s="207" t="s">
        <v>565</v>
      </c>
      <c r="U14" s="207" t="s">
        <v>566</v>
      </c>
      <c r="V14" s="207" t="s">
        <v>546</v>
      </c>
      <c r="W14" s="207" t="s">
        <v>567</v>
      </c>
      <c r="X14" s="207" t="s">
        <v>568</v>
      </c>
      <c r="Y14" s="207" t="s">
        <v>569</v>
      </c>
      <c r="Z14" s="207" t="s">
        <v>570</v>
      </c>
      <c r="AA14" s="207" t="s">
        <v>571</v>
      </c>
      <c r="AB14" s="207" t="s">
        <v>572</v>
      </c>
      <c r="AC14" s="207" t="s">
        <v>573</v>
      </c>
    </row>
    <row r="15" spans="2:56" ht="19.5" customHeight="1">
      <c r="B15" s="129"/>
      <c r="C15" s="344" t="s">
        <v>389</v>
      </c>
      <c r="D15" s="344"/>
      <c r="E15" s="89" t="s">
        <v>450</v>
      </c>
      <c r="F15" s="262" t="s">
        <v>71</v>
      </c>
      <c r="G15" s="263" t="s">
        <v>565</v>
      </c>
      <c r="H15" s="51">
        <v>0</v>
      </c>
      <c r="I15" s="57"/>
      <c r="J15" s="129"/>
      <c r="K15" s="129"/>
      <c r="L15" s="129"/>
      <c r="M15" s="129"/>
      <c r="N15" s="129"/>
      <c r="O15" s="160" t="s">
        <v>663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372</v>
      </c>
      <c r="AH15" s="260" t="s">
        <v>494</v>
      </c>
      <c r="AI15" s="260" t="s">
        <v>548</v>
      </c>
      <c r="AJ15" s="260" t="s">
        <v>549</v>
      </c>
      <c r="AK15" s="260" t="s">
        <v>550</v>
      </c>
      <c r="AL15" s="260" t="s">
        <v>551</v>
      </c>
      <c r="AM15" s="260" t="s">
        <v>552</v>
      </c>
      <c r="AN15" s="260" t="s">
        <v>553</v>
      </c>
      <c r="AO15" s="260" t="s">
        <v>554</v>
      </c>
      <c r="AP15" s="260" t="s">
        <v>555</v>
      </c>
      <c r="AQ15" s="260" t="s">
        <v>556</v>
      </c>
      <c r="AR15" s="260" t="s">
        <v>557</v>
      </c>
      <c r="AS15" s="260" t="s">
        <v>558</v>
      </c>
      <c r="AT15" s="260" t="s">
        <v>559</v>
      </c>
      <c r="AU15" s="260" t="s">
        <v>560</v>
      </c>
      <c r="AV15" s="260" t="s">
        <v>561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517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523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518</v>
      </c>
      <c r="D20" s="178" t="s">
        <v>514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525</v>
      </c>
      <c r="D21" s="152" t="s">
        <v>516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536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503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503</v>
      </c>
      <c r="T23" s="288" t="str">
        <f>O15</f>
        <v>Meteomedia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520</v>
      </c>
      <c r="D24" s="186"/>
      <c r="E24" s="155" t="s">
        <v>662</v>
      </c>
      <c r="F24" s="155" t="s">
        <v>581</v>
      </c>
      <c r="G24" s="155"/>
      <c r="H24" s="155"/>
      <c r="I24" s="155"/>
      <c r="J24" s="155"/>
      <c r="K24" s="155"/>
      <c r="L24" s="155"/>
      <c r="M24" s="155"/>
      <c r="N24" s="155"/>
      <c r="O24" s="183" t="s">
        <v>521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515</v>
      </c>
      <c r="D25" s="186"/>
      <c r="E25" s="159">
        <v>10325</v>
      </c>
      <c r="F25" s="159" t="s">
        <v>365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504</v>
      </c>
      <c r="F26" s="155" t="s">
        <v>504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504</v>
      </c>
      <c r="S26" s="67" t="s">
        <v>505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519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526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532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363</v>
      </c>
      <c r="D33" s="152" t="s">
        <v>362</v>
      </c>
      <c r="E33" s="155" t="s">
        <v>3</v>
      </c>
      <c r="F33" s="155" t="s">
        <v>361</v>
      </c>
      <c r="G33" s="155" t="s">
        <v>352</v>
      </c>
      <c r="H33" s="155" t="s">
        <v>353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1"/>
      <c r="C34" s="185" t="s">
        <v>452</v>
      </c>
      <c r="D34" s="152" t="s">
        <v>451</v>
      </c>
      <c r="E34" s="155" t="s">
        <v>512</v>
      </c>
      <c r="F34" s="155" t="s">
        <v>512</v>
      </c>
      <c r="G34" s="155" t="s">
        <v>512</v>
      </c>
      <c r="H34" s="155" t="s">
        <v>512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512</v>
      </c>
      <c r="S34" s="67" t="s">
        <v>513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604</v>
      </c>
      <c r="D35" s="152" t="s">
        <v>605</v>
      </c>
      <c r="E35" s="155" t="s">
        <v>603</v>
      </c>
      <c r="F35" s="155" t="s">
        <v>603</v>
      </c>
      <c r="G35" s="155" t="s">
        <v>603</v>
      </c>
      <c r="H35" s="155" t="s">
        <v>603</v>
      </c>
      <c r="I35" s="155" t="s">
        <v>603</v>
      </c>
      <c r="J35" s="155" t="s">
        <v>603</v>
      </c>
      <c r="K35" s="155" t="s">
        <v>603</v>
      </c>
      <c r="L35" s="155" t="s">
        <v>603</v>
      </c>
      <c r="M35" s="155" t="s">
        <v>603</v>
      </c>
      <c r="N35" s="155" t="s">
        <v>603</v>
      </c>
      <c r="O35" s="183" t="s">
        <v>142</v>
      </c>
      <c r="Q35" s="209"/>
      <c r="R35" s="67" t="s">
        <v>603</v>
      </c>
      <c r="S35" s="67" t="s">
        <v>606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444</v>
      </c>
      <c r="D36" s="118" t="s">
        <v>537</v>
      </c>
      <c r="E36" s="161" t="s">
        <v>453</v>
      </c>
      <c r="F36" s="161" t="s">
        <v>453</v>
      </c>
      <c r="G36" s="161" t="s">
        <v>454</v>
      </c>
      <c r="H36" s="161" t="s">
        <v>454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454</v>
      </c>
      <c r="S36" s="67" t="s">
        <v>453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351</v>
      </c>
      <c r="D39" s="196"/>
      <c r="E39" s="196" t="s">
        <v>530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531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524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528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529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534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535</v>
      </c>
      <c r="D46" s="199" t="s">
        <v>533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364</v>
      </c>
      <c r="K46" s="196"/>
      <c r="L46" s="196"/>
      <c r="M46" s="196"/>
      <c r="N46" s="196"/>
      <c r="O46" s="197"/>
    </row>
    <row r="47" spans="2:28">
      <c r="B47" s="191"/>
      <c r="C47" s="198" t="s">
        <v>350</v>
      </c>
      <c r="D47" s="199" t="s">
        <v>533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364</v>
      </c>
      <c r="K47" s="196"/>
      <c r="L47" s="196"/>
      <c r="M47" s="196"/>
      <c r="N47" s="196"/>
      <c r="O47" s="197"/>
    </row>
    <row r="48" spans="2:28" ht="1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">
      <c r="B50" s="174" t="s">
        <v>578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542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518</v>
      </c>
      <c r="D54" s="178" t="s">
        <v>514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525</v>
      </c>
      <c r="D55" s="152" t="s">
        <v>516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536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MeteoGroup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520</v>
      </c>
      <c r="D58" s="186"/>
      <c r="E58" s="155" t="str">
        <f>E24</f>
        <v>Bad Salzuflen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521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515</v>
      </c>
      <c r="D59" s="186"/>
      <c r="E59" s="159">
        <f>E25</f>
        <v>10325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519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526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532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363</v>
      </c>
      <c r="D67" s="152" t="s">
        <v>362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452</v>
      </c>
      <c r="D68" s="152" t="s">
        <v>451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604</v>
      </c>
      <c r="D69" s="152" t="s">
        <v>605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444</v>
      </c>
      <c r="D70" s="118" t="s">
        <v>537</v>
      </c>
      <c r="E70" s="162" t="s">
        <v>453</v>
      </c>
      <c r="F70" s="162" t="s">
        <v>453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5" t="s">
        <v>579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57" priority="28">
      <formula>IF(E$20&lt;=$F$18,1,0)</formula>
    </cfRule>
  </conditionalFormatting>
  <conditionalFormatting sqref="E32:N36">
    <cfRule type="expression" dxfId="56" priority="27">
      <formula>IF(E$30&lt;=$F$28,1,0)</formula>
    </cfRule>
  </conditionalFormatting>
  <conditionalFormatting sqref="E26:F26">
    <cfRule type="expression" dxfId="55" priority="26">
      <formula>IF(E$20&lt;=$F$18,1,0)</formula>
    </cfRule>
  </conditionalFormatting>
  <conditionalFormatting sqref="E26:N26">
    <cfRule type="expression" dxfId="54" priority="25">
      <formula>IF(E$20&lt;=$F$18,1,0)</formula>
    </cfRule>
  </conditionalFormatting>
  <conditionalFormatting sqref="E56:N59">
    <cfRule type="expression" dxfId="53" priority="22">
      <formula>IF(E$54&lt;=$F$52,1,0)</formula>
    </cfRule>
  </conditionalFormatting>
  <conditionalFormatting sqref="E60:N60">
    <cfRule type="expression" dxfId="52" priority="21">
      <formula>IF(E$54&lt;=$F$52,1,0)</formula>
    </cfRule>
  </conditionalFormatting>
  <conditionalFormatting sqref="E66:N68">
    <cfRule type="expression" dxfId="51" priority="15">
      <formula>IF(E$64&lt;=$F$62,1,0)</formula>
    </cfRule>
  </conditionalFormatting>
  <conditionalFormatting sqref="E65:N68 E70:N70">
    <cfRule type="expression" dxfId="50" priority="13">
      <formula>IF(E$64&gt;$F$62,1,0)</formula>
    </cfRule>
  </conditionalFormatting>
  <conditionalFormatting sqref="E56:N60">
    <cfRule type="expression" dxfId="49" priority="12">
      <formula>IF(E$54&gt;$F$52,1,0)</formula>
    </cfRule>
  </conditionalFormatting>
  <conditionalFormatting sqref="E21:N26">
    <cfRule type="expression" dxfId="48" priority="11">
      <formula>IF(E$20&gt;$F$18,1,0)</formula>
    </cfRule>
  </conditionalFormatting>
  <conditionalFormatting sqref="E32:N36">
    <cfRule type="expression" dxfId="47" priority="10">
      <formula>IF(E$30&gt;$F$28,1,0)</formula>
    </cfRule>
  </conditionalFormatting>
  <conditionalFormatting sqref="H11 H8:H9">
    <cfRule type="expression" dxfId="46" priority="9">
      <formula>IF($F$9=1,1,0)</formula>
    </cfRule>
  </conditionalFormatting>
  <conditionalFormatting sqref="E55:N55">
    <cfRule type="expression" dxfId="45" priority="8">
      <formula>IF(E$54&gt;$F$52,1,0)</formula>
    </cfRule>
  </conditionalFormatting>
  <conditionalFormatting sqref="E31:N31">
    <cfRule type="expression" dxfId="44" priority="7">
      <formula>IF(E$30&gt;$F$28,1,0)</formula>
    </cfRule>
  </conditionalFormatting>
  <conditionalFormatting sqref="E70:N70">
    <cfRule type="expression" dxfId="43" priority="6">
      <formula>IF(E$64&lt;=$F$62,1,0)</formula>
    </cfRule>
  </conditionalFormatting>
  <conditionalFormatting sqref="H10">
    <cfRule type="expression" dxfId="42" priority="5">
      <formula>IF($F$9=1,1,0)</formula>
    </cfRule>
  </conditionalFormatting>
  <conditionalFormatting sqref="E69:N69">
    <cfRule type="expression" dxfId="41" priority="2">
      <formula>IF(E$64&lt;=$F$62,1,0)</formula>
    </cfRule>
  </conditionalFormatting>
  <conditionalFormatting sqref="E69:N69">
    <cfRule type="expression" dxfId="4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3 E69:N69 F25:N25 I34:N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8671875" style="127" customWidth="1"/>
    <col min="2" max="2" width="5.44140625" style="127" customWidth="1"/>
    <col min="3" max="3" width="37.5546875" style="127" customWidth="1"/>
    <col min="4" max="4" width="12.5546875" style="127" customWidth="1"/>
    <col min="5" max="14" width="12.6640625" style="127" customWidth="1"/>
    <col min="15" max="15" width="34.109375" style="127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70" t="s">
        <v>543</v>
      </c>
    </row>
    <row r="3" spans="2:56" ht="15" customHeight="1">
      <c r="B3" s="170"/>
    </row>
    <row r="4" spans="2:56" ht="14.4">
      <c r="B4" s="129"/>
      <c r="C4" s="56" t="s">
        <v>446</v>
      </c>
      <c r="D4" s="57"/>
      <c r="E4" s="330" t="str">
        <f>Netzbetreiber!$D$9</f>
        <v>Blomberg Netz GmbH &amp; Co. KG</v>
      </c>
      <c r="F4" s="129"/>
      <c r="M4" s="129"/>
      <c r="N4" s="129"/>
      <c r="O4" s="129"/>
    </row>
    <row r="5" spans="2:56" ht="14.4">
      <c r="B5" s="129"/>
      <c r="C5" s="56" t="s">
        <v>445</v>
      </c>
      <c r="D5" s="57"/>
      <c r="E5" s="58" t="str">
        <f>Netzbetreiber!$D$28</f>
        <v>Blomberg</v>
      </c>
      <c r="F5" s="129"/>
      <c r="G5" s="129"/>
      <c r="H5" s="129"/>
      <c r="M5" s="129"/>
      <c r="N5" s="129"/>
      <c r="O5" s="129"/>
    </row>
    <row r="6" spans="2:56" ht="14.4">
      <c r="B6" s="129"/>
      <c r="C6" s="60" t="s">
        <v>488</v>
      </c>
      <c r="D6" s="57"/>
      <c r="E6" s="329" t="str">
        <f>Netzbetreiber!$D$11</f>
        <v>9870044800000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 ht="14.4">
      <c r="B7" s="129"/>
      <c r="C7" s="56" t="s">
        <v>133</v>
      </c>
      <c r="D7" s="57"/>
      <c r="E7" s="50">
        <f>Netzbetreiber!$D$6</f>
        <v>43831</v>
      </c>
      <c r="F7" s="129"/>
      <c r="G7" s="129"/>
      <c r="J7" s="129"/>
      <c r="K7" s="129"/>
      <c r="L7" s="129"/>
      <c r="M7" s="129"/>
      <c r="N7" s="129"/>
      <c r="O7" s="129"/>
    </row>
    <row r="8" spans="2:56" ht="14.4">
      <c r="B8" s="129"/>
      <c r="C8" s="129"/>
      <c r="D8" s="129"/>
      <c r="E8" s="129"/>
      <c r="F8" s="129"/>
      <c r="G8" s="129"/>
      <c r="H8" s="88" t="s">
        <v>498</v>
      </c>
      <c r="J8" s="129"/>
      <c r="K8" s="129"/>
      <c r="L8" s="129"/>
      <c r="M8" s="129"/>
      <c r="N8" s="129"/>
      <c r="O8" s="129"/>
    </row>
    <row r="9" spans="2:56" ht="14.4">
      <c r="B9" s="129"/>
      <c r="C9" s="60" t="s">
        <v>522</v>
      </c>
      <c r="D9" s="129"/>
      <c r="E9" s="129"/>
      <c r="F9" s="153">
        <f>'SLP-Verfahren'!D46</f>
        <v>1</v>
      </c>
      <c r="H9" s="171" t="s">
        <v>600</v>
      </c>
      <c r="J9" s="129"/>
      <c r="K9" s="129"/>
      <c r="L9" s="129"/>
      <c r="M9" s="129"/>
      <c r="N9" s="129"/>
      <c r="O9" s="129"/>
    </row>
    <row r="10" spans="2:56" ht="14.4">
      <c r="B10" s="129"/>
      <c r="C10" s="56" t="s">
        <v>584</v>
      </c>
      <c r="D10" s="129"/>
      <c r="E10" s="129"/>
      <c r="F10" s="49">
        <v>2</v>
      </c>
      <c r="G10" s="57"/>
      <c r="H10" s="171" t="s">
        <v>601</v>
      </c>
      <c r="J10" s="129"/>
      <c r="K10" s="129"/>
      <c r="L10" s="129"/>
      <c r="M10" s="129"/>
      <c r="N10" s="129"/>
      <c r="O10" s="129"/>
    </row>
    <row r="11" spans="2:56" ht="14.4">
      <c r="B11" s="129"/>
      <c r="C11" s="56" t="s">
        <v>602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 ht="14.4"/>
    <row r="13" spans="2:56" ht="18" customHeight="1">
      <c r="B13" s="129"/>
      <c r="C13" s="343" t="s">
        <v>583</v>
      </c>
      <c r="D13" s="343"/>
      <c r="E13" s="343"/>
      <c r="F13" s="181" t="s">
        <v>547</v>
      </c>
      <c r="G13" s="129" t="s">
        <v>545</v>
      </c>
      <c r="H13" s="261" t="s">
        <v>562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4" t="s">
        <v>449</v>
      </c>
      <c r="D14" s="344"/>
      <c r="E14" s="89" t="s">
        <v>450</v>
      </c>
      <c r="F14" s="262" t="s">
        <v>85</v>
      </c>
      <c r="G14" s="263" t="s">
        <v>571</v>
      </c>
      <c r="H14" s="51">
        <v>0</v>
      </c>
      <c r="I14" s="57"/>
      <c r="J14" s="129"/>
      <c r="K14" s="129"/>
      <c r="L14" s="129"/>
      <c r="M14" s="129"/>
      <c r="N14" s="129"/>
      <c r="O14" s="332" t="s">
        <v>650</v>
      </c>
      <c r="R14" s="207" t="s">
        <v>563</v>
      </c>
      <c r="S14" s="207" t="s">
        <v>564</v>
      </c>
      <c r="T14" s="207" t="s">
        <v>565</v>
      </c>
      <c r="U14" s="207" t="s">
        <v>566</v>
      </c>
      <c r="V14" s="207" t="s">
        <v>546</v>
      </c>
      <c r="W14" s="207" t="s">
        <v>567</v>
      </c>
      <c r="X14" s="207" t="s">
        <v>568</v>
      </c>
      <c r="Y14" s="207" t="s">
        <v>569</v>
      </c>
      <c r="Z14" s="207" t="s">
        <v>570</v>
      </c>
      <c r="AA14" s="207" t="s">
        <v>571</v>
      </c>
      <c r="AB14" s="207" t="s">
        <v>572</v>
      </c>
      <c r="AC14" s="207" t="s">
        <v>573</v>
      </c>
    </row>
    <row r="15" spans="2:56" ht="19.5" customHeight="1">
      <c r="B15" s="129"/>
      <c r="C15" s="344" t="s">
        <v>389</v>
      </c>
      <c r="D15" s="344"/>
      <c r="E15" s="89" t="s">
        <v>450</v>
      </c>
      <c r="F15" s="262" t="s">
        <v>71</v>
      </c>
      <c r="G15" s="263" t="s">
        <v>565</v>
      </c>
      <c r="H15" s="51">
        <v>0</v>
      </c>
      <c r="I15" s="57"/>
      <c r="J15" s="129"/>
      <c r="K15" s="129"/>
      <c r="L15" s="129"/>
      <c r="M15" s="129"/>
      <c r="N15" s="129"/>
      <c r="O15" s="160" t="s">
        <v>527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372</v>
      </c>
      <c r="AH15" s="260" t="s">
        <v>494</v>
      </c>
      <c r="AI15" s="260" t="s">
        <v>548</v>
      </c>
      <c r="AJ15" s="260" t="s">
        <v>549</v>
      </c>
      <c r="AK15" s="260" t="s">
        <v>550</v>
      </c>
      <c r="AL15" s="260" t="s">
        <v>551</v>
      </c>
      <c r="AM15" s="260" t="s">
        <v>552</v>
      </c>
      <c r="AN15" s="260" t="s">
        <v>553</v>
      </c>
      <c r="AO15" s="260" t="s">
        <v>554</v>
      </c>
      <c r="AP15" s="260" t="s">
        <v>555</v>
      </c>
      <c r="AQ15" s="260" t="s">
        <v>556</v>
      </c>
      <c r="AR15" s="260" t="s">
        <v>557</v>
      </c>
      <c r="AS15" s="260" t="s">
        <v>558</v>
      </c>
      <c r="AT15" s="260" t="s">
        <v>559</v>
      </c>
      <c r="AU15" s="260" t="s">
        <v>560</v>
      </c>
      <c r="AV15" s="260" t="s">
        <v>561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517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 ht="14.4">
      <c r="B18" s="129"/>
      <c r="C18" s="56" t="s">
        <v>523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518</v>
      </c>
      <c r="D20" s="178" t="s">
        <v>514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 ht="14.4">
      <c r="B21" s="181"/>
      <c r="C21" s="182" t="s">
        <v>525</v>
      </c>
      <c r="D21" s="152" t="s">
        <v>516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 ht="14.4">
      <c r="B22" s="181"/>
      <c r="C22" s="182" t="s">
        <v>536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 ht="14.4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503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 ht="14.4">
      <c r="B24" s="181"/>
      <c r="C24" s="185" t="s">
        <v>520</v>
      </c>
      <c r="D24" s="186"/>
      <c r="E24" s="155" t="s">
        <v>580</v>
      </c>
      <c r="F24" s="155" t="s">
        <v>581</v>
      </c>
      <c r="G24" s="155"/>
      <c r="H24" s="155"/>
      <c r="I24" s="155"/>
      <c r="J24" s="155"/>
      <c r="K24" s="155"/>
      <c r="L24" s="155"/>
      <c r="M24" s="155"/>
      <c r="N24" s="155"/>
      <c r="O24" s="183" t="s">
        <v>521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 ht="14.4">
      <c r="B25" s="181"/>
      <c r="C25" s="185" t="s">
        <v>515</v>
      </c>
      <c r="D25" s="186"/>
      <c r="E25" s="159" t="s">
        <v>365</v>
      </c>
      <c r="F25" s="159" t="s">
        <v>365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 ht="14.4">
      <c r="B26" s="181"/>
      <c r="C26" s="185" t="s">
        <v>141</v>
      </c>
      <c r="D26" s="186"/>
      <c r="E26" s="155" t="s">
        <v>504</v>
      </c>
      <c r="F26" s="155" t="s">
        <v>504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504</v>
      </c>
      <c r="S26" s="67" t="s">
        <v>505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 ht="14.4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 ht="14.4">
      <c r="B28" s="129"/>
      <c r="C28" s="56" t="s">
        <v>519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 ht="14.4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 ht="14.4">
      <c r="B31" s="181"/>
      <c r="C31" s="182" t="s">
        <v>526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 ht="14.4">
      <c r="B32" s="181"/>
      <c r="C32" s="182" t="s">
        <v>532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 ht="14.4">
      <c r="B33" s="181"/>
      <c r="C33" s="185" t="s">
        <v>363</v>
      </c>
      <c r="D33" s="152" t="s">
        <v>362</v>
      </c>
      <c r="E33" s="155" t="s">
        <v>3</v>
      </c>
      <c r="F33" s="155" t="s">
        <v>361</v>
      </c>
      <c r="G33" s="155" t="s">
        <v>352</v>
      </c>
      <c r="H33" s="155" t="s">
        <v>353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 ht="14.4">
      <c r="B34" s="181"/>
      <c r="C34" s="185" t="s">
        <v>452</v>
      </c>
      <c r="D34" s="152" t="s">
        <v>451</v>
      </c>
      <c r="E34" s="155" t="s">
        <v>512</v>
      </c>
      <c r="F34" s="155" t="s">
        <v>512</v>
      </c>
      <c r="G34" s="155" t="s">
        <v>512</v>
      </c>
      <c r="H34" s="155" t="s">
        <v>512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512</v>
      </c>
      <c r="S34" s="67" t="s">
        <v>513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 ht="14.4">
      <c r="B35" s="181"/>
      <c r="C35" s="185" t="s">
        <v>604</v>
      </c>
      <c r="D35" s="152" t="s">
        <v>605</v>
      </c>
      <c r="E35" s="155" t="s">
        <v>603</v>
      </c>
      <c r="F35" s="155" t="s">
        <v>603</v>
      </c>
      <c r="G35" s="155" t="s">
        <v>603</v>
      </c>
      <c r="H35" s="155" t="s">
        <v>603</v>
      </c>
      <c r="I35" s="155" t="s">
        <v>603</v>
      </c>
      <c r="J35" s="155" t="s">
        <v>603</v>
      </c>
      <c r="K35" s="155" t="s">
        <v>603</v>
      </c>
      <c r="L35" s="155" t="s">
        <v>603</v>
      </c>
      <c r="M35" s="155" t="s">
        <v>603</v>
      </c>
      <c r="N35" s="155" t="s">
        <v>603</v>
      </c>
      <c r="O35" s="183" t="s">
        <v>142</v>
      </c>
      <c r="Q35" s="209"/>
      <c r="R35" s="67" t="s">
        <v>603</v>
      </c>
      <c r="S35" s="67" t="s">
        <v>606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 ht="14.4">
      <c r="B36" s="181"/>
      <c r="C36" s="190" t="s">
        <v>444</v>
      </c>
      <c r="D36" s="118" t="s">
        <v>537</v>
      </c>
      <c r="E36" s="161" t="s">
        <v>453</v>
      </c>
      <c r="F36" s="161" t="s">
        <v>453</v>
      </c>
      <c r="G36" s="161" t="s">
        <v>454</v>
      </c>
      <c r="H36" s="161" t="s">
        <v>454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454</v>
      </c>
      <c r="S36" s="67" t="s">
        <v>453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ht="14.4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351</v>
      </c>
      <c r="D39" s="196"/>
      <c r="E39" s="196" t="s">
        <v>530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 ht="14.4">
      <c r="B40" s="191"/>
      <c r="C40" s="195"/>
      <c r="D40" s="196"/>
      <c r="E40" s="196" t="s">
        <v>531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 ht="14.4">
      <c r="B41" s="191"/>
      <c r="C41" s="195"/>
      <c r="D41" s="196"/>
      <c r="E41" s="196" t="s">
        <v>524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 ht="14.4">
      <c r="B42" s="191"/>
      <c r="C42" s="198"/>
      <c r="D42" s="196"/>
      <c r="E42" s="196" t="s">
        <v>528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 ht="14.4">
      <c r="B43" s="191"/>
      <c r="C43" s="198"/>
      <c r="D43" s="196"/>
      <c r="E43" s="196" t="s">
        <v>529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 ht="14.4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 ht="14.4">
      <c r="B45" s="191"/>
      <c r="C45" s="195" t="s">
        <v>534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 ht="14.4">
      <c r="B46" s="191"/>
      <c r="C46" s="198" t="s">
        <v>535</v>
      </c>
      <c r="D46" s="199" t="s">
        <v>533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364</v>
      </c>
      <c r="K46" s="196"/>
      <c r="L46" s="196"/>
      <c r="M46" s="196"/>
      <c r="N46" s="196"/>
      <c r="O46" s="197"/>
    </row>
    <row r="47" spans="2:28" ht="14.4">
      <c r="B47" s="191"/>
      <c r="C47" s="198" t="s">
        <v>350</v>
      </c>
      <c r="D47" s="199" t="s">
        <v>533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364</v>
      </c>
      <c r="K47" s="196"/>
      <c r="L47" s="196"/>
      <c r="M47" s="196"/>
      <c r="N47" s="196"/>
      <c r="O47" s="197"/>
    </row>
    <row r="48" spans="2:28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 ht="14.4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">
      <c r="B50" s="174" t="s">
        <v>578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4.4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 ht="14.4">
      <c r="B52" s="129"/>
      <c r="C52" s="56" t="s">
        <v>542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518</v>
      </c>
      <c r="D54" s="178" t="s">
        <v>514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 ht="14.4">
      <c r="B55" s="181"/>
      <c r="C55" s="182" t="s">
        <v>525</v>
      </c>
      <c r="D55" s="152" t="s">
        <v>516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 ht="14.4">
      <c r="B56" s="181"/>
      <c r="C56" s="182" t="s">
        <v>536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 ht="14.4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 ht="14.4">
      <c r="B58" s="181"/>
      <c r="C58" s="185" t="s">
        <v>520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521</v>
      </c>
      <c r="W58" s="67"/>
      <c r="X58" s="67"/>
      <c r="Y58" s="67"/>
      <c r="Z58" s="67"/>
      <c r="AA58" s="67"/>
      <c r="AB58" s="67"/>
    </row>
    <row r="59" spans="2:28" ht="14.4">
      <c r="B59" s="181"/>
      <c r="C59" s="185" t="s">
        <v>515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 ht="14.4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 ht="14.4"/>
    <row r="62" spans="2:28" ht="14.4">
      <c r="C62" s="56" t="s">
        <v>519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 ht="14.4">
      <c r="B65" s="181"/>
      <c r="C65" s="182" t="s">
        <v>526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 ht="14.4">
      <c r="B66" s="181"/>
      <c r="C66" s="182" t="s">
        <v>532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 ht="14.4">
      <c r="B67" s="181"/>
      <c r="C67" s="185" t="s">
        <v>363</v>
      </c>
      <c r="D67" s="152" t="s">
        <v>362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 ht="14.4">
      <c r="B68" s="181"/>
      <c r="C68" s="185" t="s">
        <v>452</v>
      </c>
      <c r="D68" s="152" t="s">
        <v>451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 ht="14.4">
      <c r="B69" s="181"/>
      <c r="C69" s="185" t="s">
        <v>604</v>
      </c>
      <c r="D69" s="152" t="s">
        <v>605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 ht="14.4">
      <c r="B70" s="181"/>
      <c r="C70" s="190" t="s">
        <v>444</v>
      </c>
      <c r="D70" s="118" t="s">
        <v>537</v>
      </c>
      <c r="E70" s="162" t="s">
        <v>454</v>
      </c>
      <c r="F70" s="162" t="s">
        <v>454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 ht="14.4"/>
    <row r="72" spans="2:15" ht="15.75" customHeight="1">
      <c r="C72" s="345" t="s">
        <v>579</v>
      </c>
      <c r="D72" s="345"/>
      <c r="E72" s="345"/>
      <c r="F72" s="345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9" priority="18">
      <formula>IF(E$20&lt;=$F$18,1,0)</formula>
    </cfRule>
  </conditionalFormatting>
  <conditionalFormatting sqref="E32:N36">
    <cfRule type="expression" dxfId="38" priority="17">
      <formula>IF(E$30&lt;=$F$28,1,0)</formula>
    </cfRule>
  </conditionalFormatting>
  <conditionalFormatting sqref="E26:F26">
    <cfRule type="expression" dxfId="37" priority="16">
      <formula>IF(E$20&lt;=$F$18,1,0)</formula>
    </cfRule>
  </conditionalFormatting>
  <conditionalFormatting sqref="E26:N26">
    <cfRule type="expression" dxfId="36" priority="15">
      <formula>IF(E$20&lt;=$F$18,1,0)</formula>
    </cfRule>
  </conditionalFormatting>
  <conditionalFormatting sqref="E56:N59">
    <cfRule type="expression" dxfId="35" priority="14">
      <formula>IF(E$54&lt;=$F$52,1,0)</formula>
    </cfRule>
  </conditionalFormatting>
  <conditionalFormatting sqref="E60:N60">
    <cfRule type="expression" dxfId="34" priority="13">
      <formula>IF(E$54&lt;=$F$52,1,0)</formula>
    </cfRule>
  </conditionalFormatting>
  <conditionalFormatting sqref="E66:N68">
    <cfRule type="expression" dxfId="33" priority="12">
      <formula>IF(E$64&lt;=$F$62,1,0)</formula>
    </cfRule>
  </conditionalFormatting>
  <conditionalFormatting sqref="E65:N68 E70:N70">
    <cfRule type="expression" dxfId="32" priority="11">
      <formula>IF(E$64&gt;$F$62,1,0)</formula>
    </cfRule>
  </conditionalFormatting>
  <conditionalFormatting sqref="E56:N60">
    <cfRule type="expression" dxfId="31" priority="10">
      <formula>IF(E$54&gt;$F$52,1,0)</formula>
    </cfRule>
  </conditionalFormatting>
  <conditionalFormatting sqref="E21:N26">
    <cfRule type="expression" dxfId="30" priority="9">
      <formula>IF(E$20&gt;$F$18,1,0)</formula>
    </cfRule>
  </conditionalFormatting>
  <conditionalFormatting sqref="E32:N36">
    <cfRule type="expression" dxfId="29" priority="8">
      <formula>IF(E$30&gt;$F$28,1,0)</formula>
    </cfRule>
  </conditionalFormatting>
  <conditionalFormatting sqref="H11 H8:H9">
    <cfRule type="expression" dxfId="28" priority="7">
      <formula>IF($F$9=1,1,0)</formula>
    </cfRule>
  </conditionalFormatting>
  <conditionalFormatting sqref="E55:N55">
    <cfRule type="expression" dxfId="27" priority="6">
      <formula>IF(E$54&gt;$F$52,1,0)</formula>
    </cfRule>
  </conditionalFormatting>
  <conditionalFormatting sqref="E31:N31">
    <cfRule type="expression" dxfId="26" priority="5">
      <formula>IF(E$30&gt;$F$28,1,0)</formula>
    </cfRule>
  </conditionalFormatting>
  <conditionalFormatting sqref="E70:N70">
    <cfRule type="expression" dxfId="25" priority="4">
      <formula>IF(E$64&lt;=$F$62,1,0)</formula>
    </cfRule>
  </conditionalFormatting>
  <conditionalFormatting sqref="H10">
    <cfRule type="expression" dxfId="24" priority="3">
      <formula>IF($F$9=1,1,0)</formula>
    </cfRule>
  </conditionalFormatting>
  <conditionalFormatting sqref="E69:N69">
    <cfRule type="expression" dxfId="23" priority="2">
      <formula>IF(E$64&lt;=$F$62,1,0)</formula>
    </cfRule>
  </conditionalFormatting>
  <conditionalFormatting sqref="E69:N69">
    <cfRule type="expression" dxfId="2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D8" sqref="D8"/>
    </sheetView>
  </sheetViews>
  <sheetFormatPr baseColWidth="10" defaultColWidth="0" defaultRowHeight="14.4" zeroHeight="1"/>
  <cols>
    <col min="1" max="1" width="2.88671875" style="127" customWidth="1"/>
    <col min="2" max="2" width="8" style="127" customWidth="1"/>
    <col min="3" max="3" width="37.44140625" style="127" customWidth="1"/>
    <col min="4" max="4" width="10.6640625" style="127" customWidth="1"/>
    <col min="5" max="6" width="11.44140625" style="127" customWidth="1"/>
    <col min="8" max="8" width="12.6640625" style="127" customWidth="1"/>
    <col min="9" max="9" width="15.44140625" style="127" customWidth="1"/>
    <col min="10" max="11" width="12.6640625" style="127" customWidth="1"/>
    <col min="12" max="12" width="11.44140625" style="127" customWidth="1"/>
    <col min="13" max="16" width="12.6640625" style="127" customWidth="1"/>
    <col min="17" max="17" width="14.109375" style="127" customWidth="1"/>
    <col min="18" max="24" width="11.44140625" style="127" customWidth="1"/>
    <col min="25" max="25" width="20.109375" style="127" customWidth="1"/>
    <col min="26" max="26" width="11.44140625" style="127" customWidth="1"/>
    <col min="27" max="16384" width="11.44140625" style="127" hidden="1"/>
  </cols>
  <sheetData>
    <row r="1" spans="2:26" ht="75" customHeight="1" thickBot="1"/>
    <row r="2" spans="2:26" ht="23.4">
      <c r="B2" s="128" t="s">
        <v>366</v>
      </c>
    </row>
    <row r="3" spans="2:26">
      <c r="B3" s="129" t="s">
        <v>467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371</v>
      </c>
      <c r="D5" s="54" t="str">
        <f>Netzbetreiber!$D$9</f>
        <v>Blomberg Netz GmbH &amp; Co. KG</v>
      </c>
      <c r="E5" s="129"/>
      <c r="J5" s="88" t="s">
        <v>498</v>
      </c>
      <c r="K5" s="130" t="s">
        <v>501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338</v>
      </c>
      <c r="D6" s="54" t="str">
        <f>Netzbetreiber!$D$28</f>
        <v>Blomberg</v>
      </c>
      <c r="E6" s="129"/>
      <c r="F6" s="129"/>
      <c r="K6" s="130" t="s">
        <v>509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488</v>
      </c>
      <c r="D7" s="54" t="str">
        <f>Netzbetreiber!$D$11</f>
        <v>9870044800000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43831</v>
      </c>
      <c r="E8" s="129"/>
      <c r="F8" s="129"/>
      <c r="H8" s="127" t="s">
        <v>496</v>
      </c>
      <c r="J8" s="131">
        <f>COUNTA(D12:D100)</f>
        <v>15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3.8" thickBot="1">
      <c r="B10" s="133" t="s">
        <v>248</v>
      </c>
      <c r="C10" s="134" t="s">
        <v>495</v>
      </c>
      <c r="D10" s="133" t="s">
        <v>147</v>
      </c>
      <c r="E10" s="272" t="s">
        <v>511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634</v>
      </c>
      <c r="M10" s="149" t="s">
        <v>643</v>
      </c>
      <c r="N10" s="150" t="s">
        <v>644</v>
      </c>
      <c r="O10" s="150" t="s">
        <v>645</v>
      </c>
      <c r="P10" s="151" t="s">
        <v>646</v>
      </c>
      <c r="Q10" s="145" t="s">
        <v>635</v>
      </c>
      <c r="R10" s="135" t="s">
        <v>636</v>
      </c>
      <c r="S10" s="136" t="s">
        <v>637</v>
      </c>
      <c r="T10" s="136" t="s">
        <v>638</v>
      </c>
      <c r="U10" s="136" t="s">
        <v>639</v>
      </c>
      <c r="V10" s="136" t="s">
        <v>640</v>
      </c>
      <c r="W10" s="136" t="s">
        <v>641</v>
      </c>
      <c r="X10" s="137" t="s">
        <v>642</v>
      </c>
      <c r="Y10" s="294" t="s">
        <v>647</v>
      </c>
    </row>
    <row r="11" spans="2:26" ht="15" thickBot="1">
      <c r="B11" s="138" t="s">
        <v>497</v>
      </c>
      <c r="C11" s="139" t="s">
        <v>510</v>
      </c>
      <c r="D11" s="293" t="s">
        <v>247</v>
      </c>
      <c r="E11" s="163" t="s">
        <v>656</v>
      </c>
      <c r="F11" s="295" t="str">
        <f>VLOOKUP($E11,'BDEW-Standard'!$B$3:$M$158,F$9,0)</f>
        <v>BA4</v>
      </c>
      <c r="H11" s="166">
        <f>ROUND(VLOOKUP($E11,'BDEW-Standard'!$B$3:$M$158,H$9,0),7)</f>
        <v>0.93158890000000005</v>
      </c>
      <c r="I11" s="166">
        <f>ROUND(VLOOKUP($E11,'BDEW-Standard'!$B$3:$M$158,I$9,0),7)</f>
        <v>-33.35</v>
      </c>
      <c r="J11" s="166">
        <f>ROUND(VLOOKUP($E11,'BDEW-Standard'!$B$3:$M$158,J$9,0),7)</f>
        <v>5.7212303000000002</v>
      </c>
      <c r="K11" s="166">
        <f>ROUND(VLOOKUP($E11,'BDEW-Standard'!$B$3:$M$158,K$9,0),7)</f>
        <v>0.66564939999999995</v>
      </c>
      <c r="L11" s="335">
        <f>ROUND(VLOOKUP($E11,'BDEW-Standard'!$B$3:$M$158,L$9,0),1)</f>
        <v>40</v>
      </c>
      <c r="M11" s="166">
        <f>ROUND(VLOOKUP($E11,'BDEW-Standard'!$B$3:$M$158,M$9,0),7)</f>
        <v>0</v>
      </c>
      <c r="N11" s="166">
        <f>ROUND(VLOOKUP($E11,'BDEW-Standard'!$B$3:$M$158,N$9,0),7)</f>
        <v>0</v>
      </c>
      <c r="O11" s="166">
        <f>ROUND(VLOOKUP($E11,'BDEW-Standard'!$B$3:$M$158,O$9,0),7)</f>
        <v>0</v>
      </c>
      <c r="P11" s="166">
        <f>ROUND(VLOOKUP($E11,'BDEW-Standard'!$B$3:$M$158,P$9,0),7)</f>
        <v>0</v>
      </c>
      <c r="Q11" s="336">
        <f>($H11/(1+($I11/($Q$9-$L11))^$J11)+$K11)+MAX($M11*$Q$9+$N11,$O11*$Q$9+$P11)</f>
        <v>1.0766391850538448</v>
      </c>
      <c r="R11" s="167">
        <f>ROUND(VLOOKUP(MID($E11,4,3),'Wochentag F(WT)'!$B$7:$J$22,R$9,0),4)</f>
        <v>1.0848</v>
      </c>
      <c r="S11" s="167">
        <f>ROUND(VLOOKUP(MID($E11,4,3),'Wochentag F(WT)'!$B$7:$J$22,S$9,0),4)</f>
        <v>1.1211</v>
      </c>
      <c r="T11" s="167">
        <f>ROUND(VLOOKUP(MID($E11,4,3),'Wochentag F(WT)'!$B$7:$J$22,T$9,0),4)</f>
        <v>1.0769</v>
      </c>
      <c r="U11" s="167">
        <f>ROUND(VLOOKUP(MID($E11,4,3),'Wochentag F(WT)'!$B$7:$J$22,U$9,0),4)</f>
        <v>1.1353</v>
      </c>
      <c r="V11" s="167">
        <f>ROUND(VLOOKUP(MID($E11,4,3),'Wochentag F(WT)'!$B$7:$J$22,V$9,0),4)</f>
        <v>1.1402000000000001</v>
      </c>
      <c r="W11" s="167">
        <f>ROUND(VLOOKUP(MID($E11,4,3),'Wochentag F(WT)'!$B$7:$J$22,W$9,0),4)</f>
        <v>0.48520000000000002</v>
      </c>
      <c r="X11" s="168">
        <f>7-SUM(R11:W11)</f>
        <v>0.95650000000000013</v>
      </c>
      <c r="Y11" s="291">
        <v>365.12299999999999</v>
      </c>
    </row>
    <row r="12" spans="2:26">
      <c r="B12" s="140">
        <v>1</v>
      </c>
      <c r="C12" s="141" t="str">
        <f t="shared" ref="C12:C26" si="0">$D$6</f>
        <v>Blomberg</v>
      </c>
      <c r="D12" s="62" t="s">
        <v>247</v>
      </c>
      <c r="E12" s="164" t="s">
        <v>664</v>
      </c>
      <c r="F12" s="296" t="str">
        <f>VLOOKUP($E12,'BDEW-Standard'!$B$3:$M$158,F$9,0)</f>
        <v>BH3</v>
      </c>
      <c r="H12" s="273">
        <f>ROUND(VLOOKUP($E12,'BDEW-Standard'!$B$3:$M$158,H$9,0),7)</f>
        <v>2.0102471999999998</v>
      </c>
      <c r="I12" s="273">
        <f>ROUND(VLOOKUP($E12,'BDEW-Standard'!$B$3:$M$158,I$9,0),7)</f>
        <v>-35.253212400000002</v>
      </c>
      <c r="J12" s="273">
        <f>ROUND(VLOOKUP($E12,'BDEW-Standard'!$B$3:$M$158,J$9,0),7)</f>
        <v>6.1544406</v>
      </c>
      <c r="K12" s="273">
        <f>ROUND(VLOOKUP($E12,'BDEW-Standard'!$B$3:$M$158,K$9,0),7)</f>
        <v>0.32947409999999999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26" si="1">($H12/(1+($I12/($Q$9-$L12))^$J12)+$K12)+MAX($M12*$Q$9+$N12,$O12*$Q$9+$P12)</f>
        <v>1.0436896084076008</v>
      </c>
      <c r="R12" s="274">
        <f>ROUND(VLOOKUP(MID($E12,4,3),'Wochentag F(WT)'!$B$7:$J$22,R$9,0),4)</f>
        <v>0.97670000000000001</v>
      </c>
      <c r="S12" s="274">
        <f>ROUND(VLOOKUP(MID($E12,4,3),'Wochentag F(WT)'!$B$7:$J$22,S$9,0),4)</f>
        <v>1.0388999999999999</v>
      </c>
      <c r="T12" s="274">
        <f>ROUND(VLOOKUP(MID($E12,4,3),'Wochentag F(WT)'!$B$7:$J$22,T$9,0),4)</f>
        <v>1.0027999999999999</v>
      </c>
      <c r="U12" s="274">
        <f>ROUND(VLOOKUP(MID($E12,4,3),'Wochentag F(WT)'!$B$7:$J$22,U$9,0),4)</f>
        <v>1.0162</v>
      </c>
      <c r="V12" s="274">
        <f>ROUND(VLOOKUP(MID($E12,4,3),'Wochentag F(WT)'!$B$7:$J$22,V$9,0),4)</f>
        <v>1.0024</v>
      </c>
      <c r="W12" s="274">
        <f>ROUND(VLOOKUP(MID($E12,4,3),'Wochentag F(WT)'!$B$7:$J$22,W$9,0),4)</f>
        <v>1.0043</v>
      </c>
      <c r="X12" s="275">
        <f>7-SUM(R12:W12)</f>
        <v>0.95870000000000122</v>
      </c>
      <c r="Y12" s="292"/>
      <c r="Z12" s="210"/>
    </row>
    <row r="13" spans="2:26" s="142" customFormat="1">
      <c r="B13" s="143">
        <v>2</v>
      </c>
      <c r="C13" s="144" t="str">
        <f t="shared" si="0"/>
        <v>Blomberg</v>
      </c>
      <c r="D13" s="62" t="s">
        <v>247</v>
      </c>
      <c r="E13" s="164" t="s">
        <v>665</v>
      </c>
      <c r="F13" s="296" t="str">
        <f>VLOOKUP($E13,'BDEW-Standard'!$B$3:$M$158,F$9,0)</f>
        <v>KO3</v>
      </c>
      <c r="H13" s="273">
        <f>ROUND(VLOOKUP($E13,'BDEW-Standard'!$B$3:$M$158,H$9,0),7)</f>
        <v>2.7172288</v>
      </c>
      <c r="I13" s="273">
        <f>ROUND(VLOOKUP($E13,'BDEW-Standard'!$B$3:$M$158,I$9,0),7)</f>
        <v>-35.141256300000002</v>
      </c>
      <c r="J13" s="273">
        <f>ROUND(VLOOKUP($E13,'BDEW-Standard'!$B$3:$M$158,J$9,0),7)</f>
        <v>7.1303394999999998</v>
      </c>
      <c r="K13" s="273">
        <f>ROUND(VLOOKUP($E13,'BDEW-Standard'!$B$3:$M$158,K$9,0),7)</f>
        <v>0.14184720000000001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1.0630299199876638</v>
      </c>
      <c r="R13" s="274">
        <f>ROUND(VLOOKUP(MID($E13,4,3),'Wochentag F(WT)'!$B$7:$J$22,R$9,0),4)</f>
        <v>1.0354000000000001</v>
      </c>
      <c r="S13" s="274">
        <f>ROUND(VLOOKUP(MID($E13,4,3),'Wochentag F(WT)'!$B$7:$J$22,S$9,0),4)</f>
        <v>1.0523</v>
      </c>
      <c r="T13" s="274">
        <f>ROUND(VLOOKUP(MID($E13,4,3),'Wochentag F(WT)'!$B$7:$J$22,T$9,0),4)</f>
        <v>1.0448999999999999</v>
      </c>
      <c r="U13" s="274">
        <f>ROUND(VLOOKUP(MID($E13,4,3),'Wochentag F(WT)'!$B$7:$J$22,U$9,0),4)</f>
        <v>1.0494000000000001</v>
      </c>
      <c r="V13" s="274">
        <f>ROUND(VLOOKUP(MID($E13,4,3),'Wochentag F(WT)'!$B$7:$J$22,V$9,0),4)</f>
        <v>0.98850000000000005</v>
      </c>
      <c r="W13" s="274">
        <f>ROUND(VLOOKUP(MID($E13,4,3),'Wochentag F(WT)'!$B$7:$J$22,W$9,0),4)</f>
        <v>0.88600000000000001</v>
      </c>
      <c r="X13" s="275">
        <f t="shared" ref="X13:X21" si="2">7-SUM(R13:W13)</f>
        <v>0.94349999999999934</v>
      </c>
      <c r="Y13" s="292"/>
      <c r="Z13" s="210"/>
    </row>
    <row r="14" spans="2:26" s="142" customFormat="1">
      <c r="B14" s="143">
        <v>3</v>
      </c>
      <c r="C14" s="144" t="str">
        <f t="shared" si="0"/>
        <v>Blomberg</v>
      </c>
      <c r="D14" s="62" t="s">
        <v>247</v>
      </c>
      <c r="E14" s="164" t="s">
        <v>666</v>
      </c>
      <c r="F14" s="296" t="str">
        <f>VLOOKUP($E14,'BDEW-Standard'!$B$3:$M$158,F$9,0)</f>
        <v>D13</v>
      </c>
      <c r="H14" s="273">
        <f>ROUND(VLOOKUP($E14,'BDEW-Standard'!$B$3:$M$158,H$9,0),7)</f>
        <v>3.0469694999999999</v>
      </c>
      <c r="I14" s="273">
        <f>ROUND(VLOOKUP($E14,'BDEW-Standard'!$B$3:$M$158,I$9,0),7)</f>
        <v>-37.183314099999997</v>
      </c>
      <c r="J14" s="273">
        <f>ROUND(VLOOKUP($E14,'BDEW-Standard'!$B$3:$M$158,J$9,0),7)</f>
        <v>5.6727847000000002</v>
      </c>
      <c r="K14" s="273">
        <f>ROUND(VLOOKUP($E14,'BDEW-Standard'!$B$3:$M$158,K$9,0),7)</f>
        <v>9.6193100000000004E-2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1.0075192723557669</v>
      </c>
      <c r="R14" s="274">
        <f>ROUND(VLOOKUP(MID($E14,4,3),'Wochentag F(WT)'!$B$7:$J$22,R$9,0),4)</f>
        <v>1</v>
      </c>
      <c r="S14" s="274">
        <f>ROUND(VLOOKUP(MID($E14,4,3),'Wochentag F(WT)'!$B$7:$J$22,S$9,0),4)</f>
        <v>1</v>
      </c>
      <c r="T14" s="274">
        <f>ROUND(VLOOKUP(MID($E14,4,3),'Wochentag F(WT)'!$B$7:$J$22,T$9,0),4)</f>
        <v>1</v>
      </c>
      <c r="U14" s="274">
        <f>ROUND(VLOOKUP(MID($E14,4,3),'Wochentag F(WT)'!$B$7:$J$22,U$9,0),4)</f>
        <v>1</v>
      </c>
      <c r="V14" s="274">
        <f>ROUND(VLOOKUP(MID($E14,4,3),'Wochentag F(WT)'!$B$7:$J$22,V$9,0),4)</f>
        <v>1</v>
      </c>
      <c r="W14" s="274">
        <f>ROUND(VLOOKUP(MID($E14,4,3),'Wochentag F(WT)'!$B$7:$J$22,W$9,0),4)</f>
        <v>1</v>
      </c>
      <c r="X14" s="275">
        <f t="shared" si="2"/>
        <v>1</v>
      </c>
      <c r="Y14" s="292"/>
      <c r="Z14" s="210"/>
    </row>
    <row r="15" spans="2:26" s="142" customFormat="1">
      <c r="B15" s="143">
        <v>4</v>
      </c>
      <c r="C15" s="144" t="str">
        <f t="shared" si="0"/>
        <v>Blomberg</v>
      </c>
      <c r="D15" s="62" t="s">
        <v>247</v>
      </c>
      <c r="E15" s="164" t="s">
        <v>670</v>
      </c>
      <c r="F15" s="296" t="str">
        <f>VLOOKUP($E15,'BDEW-Standard'!$B$3:$M$158,F$9,0)</f>
        <v>GB3</v>
      </c>
      <c r="H15" s="273">
        <f>ROUND(VLOOKUP($E15,'BDEW-Standard'!$B$3:$M$158,H$9,0),7)</f>
        <v>3.2572741999999999</v>
      </c>
      <c r="I15" s="273">
        <f>ROUND(VLOOKUP($E15,'BDEW-Standard'!$B$3:$M$158,I$9,0),7)</f>
        <v>-37.5</v>
      </c>
      <c r="J15" s="273">
        <f>ROUND(VLOOKUP($E15,'BDEW-Standard'!$B$3:$M$158,J$9,0),7)</f>
        <v>6.3462148000000003</v>
      </c>
      <c r="K15" s="273">
        <f>ROUND(VLOOKUP($E15,'BDEW-Standard'!$B$3:$M$158,K$9,0),7)</f>
        <v>8.6622699999999997E-2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0.9584556323619029</v>
      </c>
      <c r="R15" s="274">
        <f>ROUND(VLOOKUP(MID($E15,4,3),'Wochentag F(WT)'!$B$7:$J$22,R$9,0),4)</f>
        <v>0.98970000000000002</v>
      </c>
      <c r="S15" s="274">
        <f>ROUND(VLOOKUP(MID($E15,4,3),'Wochentag F(WT)'!$B$7:$J$22,S$9,0),4)</f>
        <v>0.9627</v>
      </c>
      <c r="T15" s="274">
        <f>ROUND(VLOOKUP(MID($E15,4,3),'Wochentag F(WT)'!$B$7:$J$22,T$9,0),4)</f>
        <v>1.0507</v>
      </c>
      <c r="U15" s="274">
        <f>ROUND(VLOOKUP(MID($E15,4,3),'Wochentag F(WT)'!$B$7:$J$22,U$9,0),4)</f>
        <v>1.0551999999999999</v>
      </c>
      <c r="V15" s="274">
        <f>ROUND(VLOOKUP(MID($E15,4,3),'Wochentag F(WT)'!$B$7:$J$22,V$9,0),4)</f>
        <v>1.0297000000000001</v>
      </c>
      <c r="W15" s="274">
        <f>ROUND(VLOOKUP(MID($E15,4,3),'Wochentag F(WT)'!$B$7:$J$22,W$9,0),4)</f>
        <v>0.97670000000000001</v>
      </c>
      <c r="X15" s="275">
        <f t="shared" si="2"/>
        <v>0.9352999999999998</v>
      </c>
      <c r="Y15" s="292"/>
      <c r="Z15" s="210"/>
    </row>
    <row r="16" spans="2:26" s="142" customFormat="1">
      <c r="B16" s="143">
        <v>5</v>
      </c>
      <c r="C16" s="144" t="str">
        <f t="shared" si="0"/>
        <v>Blomberg</v>
      </c>
      <c r="D16" s="62" t="s">
        <v>247</v>
      </c>
      <c r="E16" s="164" t="s">
        <v>668</v>
      </c>
      <c r="F16" s="296" t="str">
        <f>VLOOKUP($E16,'BDEW-Standard'!$B$3:$M$158,F$9,0)</f>
        <v>GA3</v>
      </c>
      <c r="H16" s="273">
        <f>ROUND(VLOOKUP($E16,'BDEW-Standard'!$B$3:$M$158,H$9,0),7)</f>
        <v>2.2850164999999998</v>
      </c>
      <c r="I16" s="273">
        <f>ROUND(VLOOKUP($E16,'BDEW-Standard'!$B$3:$M$158,I$9,0),7)</f>
        <v>-36.287858399999998</v>
      </c>
      <c r="J16" s="273">
        <f>ROUND(VLOOKUP($E16,'BDEW-Standard'!$B$3:$M$158,J$9,0),7)</f>
        <v>6.5885125999999996</v>
      </c>
      <c r="K16" s="273">
        <f>ROUND(VLOOKUP($E16,'BDEW-Standard'!$B$3:$M$158,K$9,0),7)</f>
        <v>0.31505349999999999</v>
      </c>
      <c r="L16" s="337">
        <f>ROUND(VLOOKUP($E16,'BDEW-Standard'!$B$3:$M$158,L$9,0),1)</f>
        <v>40</v>
      </c>
      <c r="M16" s="273">
        <f>ROUND(VLOOKUP($E16,'BDEW-Standard'!$B$3:$M$158,M$9,0),7)</f>
        <v>0</v>
      </c>
      <c r="N16" s="273">
        <f>ROUND(VLOOKUP($E16,'BDEW-Standard'!$B$3:$M$158,N$9,0),7)</f>
        <v>0</v>
      </c>
      <c r="O16" s="273">
        <f>ROUND(VLOOKUP($E16,'BDEW-Standard'!$B$3:$M$158,O$9,0),7)</f>
        <v>0</v>
      </c>
      <c r="P16" s="273">
        <f>ROUND(VLOOKUP($E16,'BDEW-Standard'!$B$3:$M$158,P$9,0),7)</f>
        <v>0</v>
      </c>
      <c r="Q16" s="338">
        <f t="shared" si="1"/>
        <v>1.0096183914256316</v>
      </c>
      <c r="R16" s="274">
        <f>ROUND(VLOOKUP(MID($E16,4,3),'Wochentag F(WT)'!$B$7:$J$22,R$9,0),4)</f>
        <v>0.93220000000000003</v>
      </c>
      <c r="S16" s="274">
        <f>ROUND(VLOOKUP(MID($E16,4,3),'Wochentag F(WT)'!$B$7:$J$22,S$9,0),4)</f>
        <v>0.98939999999999995</v>
      </c>
      <c r="T16" s="274">
        <f>ROUND(VLOOKUP(MID($E16,4,3),'Wochentag F(WT)'!$B$7:$J$22,T$9,0),4)</f>
        <v>1.0033000000000001</v>
      </c>
      <c r="U16" s="274">
        <f>ROUND(VLOOKUP(MID($E16,4,3),'Wochentag F(WT)'!$B$7:$J$22,U$9,0),4)</f>
        <v>1.0108999999999999</v>
      </c>
      <c r="V16" s="274">
        <f>ROUND(VLOOKUP(MID($E16,4,3),'Wochentag F(WT)'!$B$7:$J$22,V$9,0),4)</f>
        <v>1.018</v>
      </c>
      <c r="W16" s="274">
        <f>ROUND(VLOOKUP(MID($E16,4,3),'Wochentag F(WT)'!$B$7:$J$22,W$9,0),4)</f>
        <v>1.0356000000000001</v>
      </c>
      <c r="X16" s="275">
        <f t="shared" si="2"/>
        <v>1.0106000000000002</v>
      </c>
      <c r="Y16" s="292"/>
      <c r="Z16" s="210"/>
    </row>
    <row r="17" spans="2:26" s="142" customFormat="1">
      <c r="B17" s="143">
        <v>6</v>
      </c>
      <c r="C17" s="144" t="str">
        <f t="shared" si="0"/>
        <v>Blomberg</v>
      </c>
      <c r="D17" s="62" t="s">
        <v>247</v>
      </c>
      <c r="E17" s="164" t="s">
        <v>669</v>
      </c>
      <c r="F17" s="296" t="str">
        <f>VLOOKUP($E17,'BDEW-Standard'!$B$3:$M$158,F$9,0)</f>
        <v>HA3</v>
      </c>
      <c r="H17" s="273">
        <f>ROUND(VLOOKUP($E17,'BDEW-Standard'!$B$3:$M$158,H$9,0),7)</f>
        <v>3.5811213999999998</v>
      </c>
      <c r="I17" s="273">
        <f>ROUND(VLOOKUP($E17,'BDEW-Standard'!$B$3:$M$158,I$9,0),7)</f>
        <v>-36.965006500000001</v>
      </c>
      <c r="J17" s="273">
        <f>ROUND(VLOOKUP($E17,'BDEW-Standard'!$B$3:$M$158,J$9,0),7)</f>
        <v>7.2256947</v>
      </c>
      <c r="K17" s="273">
        <f>ROUND(VLOOKUP($E17,'BDEW-Standard'!$B$3:$M$158,K$9,0),7)</f>
        <v>4.4841600000000002E-2</v>
      </c>
      <c r="L17" s="337">
        <f>ROUND(VLOOKUP($E17,'BDEW-Standard'!$B$3:$M$158,L$9,0),1)</f>
        <v>40</v>
      </c>
      <c r="M17" s="273">
        <f>ROUND(VLOOKUP($E17,'BDEW-Standard'!$B$3:$M$158,M$9,0),7)</f>
        <v>0</v>
      </c>
      <c r="N17" s="273">
        <f>ROUND(VLOOKUP($E17,'BDEW-Standard'!$B$3:$M$158,N$9,0),7)</f>
        <v>0</v>
      </c>
      <c r="O17" s="273">
        <f>ROUND(VLOOKUP($E17,'BDEW-Standard'!$B$3:$M$158,O$9,0),7)</f>
        <v>0</v>
      </c>
      <c r="P17" s="273">
        <f>ROUND(VLOOKUP($E17,'BDEW-Standard'!$B$3:$M$158,P$9,0),7)</f>
        <v>0</v>
      </c>
      <c r="Q17" s="338">
        <f t="shared" si="1"/>
        <v>0.97852945357176691</v>
      </c>
      <c r="R17" s="274">
        <f>ROUND(VLOOKUP(MID($E17,4,3),'Wochentag F(WT)'!$B$7:$J$22,R$9,0),4)</f>
        <v>1.0358000000000001</v>
      </c>
      <c r="S17" s="274">
        <f>ROUND(VLOOKUP(MID($E17,4,3),'Wochentag F(WT)'!$B$7:$J$22,S$9,0),4)</f>
        <v>1.0232000000000001</v>
      </c>
      <c r="T17" s="274">
        <f>ROUND(VLOOKUP(MID($E17,4,3),'Wochentag F(WT)'!$B$7:$J$22,T$9,0),4)</f>
        <v>1.0251999999999999</v>
      </c>
      <c r="U17" s="274">
        <f>ROUND(VLOOKUP(MID($E17,4,3),'Wochentag F(WT)'!$B$7:$J$22,U$9,0),4)</f>
        <v>1.0295000000000001</v>
      </c>
      <c r="V17" s="274">
        <f>ROUND(VLOOKUP(MID($E17,4,3),'Wochentag F(WT)'!$B$7:$J$22,V$9,0),4)</f>
        <v>1.0253000000000001</v>
      </c>
      <c r="W17" s="274">
        <f>ROUND(VLOOKUP(MID($E17,4,3),'Wochentag F(WT)'!$B$7:$J$22,W$9,0),4)</f>
        <v>0.96750000000000003</v>
      </c>
      <c r="X17" s="275">
        <f t="shared" si="2"/>
        <v>0.89350000000000041</v>
      </c>
      <c r="Y17" s="292"/>
      <c r="Z17" s="210"/>
    </row>
    <row r="18" spans="2:26" s="142" customFormat="1">
      <c r="B18" s="143">
        <v>7</v>
      </c>
      <c r="C18" s="144" t="str">
        <f t="shared" si="0"/>
        <v>Blomberg</v>
      </c>
      <c r="D18" s="62" t="s">
        <v>247</v>
      </c>
      <c r="E18" s="164" t="s">
        <v>672</v>
      </c>
      <c r="F18" s="296" t="str">
        <f>VLOOKUP($E18,'BDEW-Standard'!$B$3:$M$158,F$9,0)</f>
        <v>MF3</v>
      </c>
      <c r="H18" s="273">
        <f>ROUND(VLOOKUP($E18,'BDEW-Standard'!$B$3:$M$158,H$9,0),7)</f>
        <v>2.3877617999999998</v>
      </c>
      <c r="I18" s="273">
        <f>ROUND(VLOOKUP($E18,'BDEW-Standard'!$B$3:$M$158,I$9,0),7)</f>
        <v>-34.721360500000003</v>
      </c>
      <c r="J18" s="273">
        <f>ROUND(VLOOKUP($E18,'BDEW-Standard'!$B$3:$M$158,J$9,0),7)</f>
        <v>5.8164303999999998</v>
      </c>
      <c r="K18" s="273">
        <f>ROUND(VLOOKUP($E18,'BDEW-Standard'!$B$3:$M$158,K$9,0),7)</f>
        <v>0.12081939999999999</v>
      </c>
      <c r="L18" s="337">
        <f>ROUND(VLOOKUP($E18,'BDEW-Standard'!$B$3:$M$158,L$9,0),1)</f>
        <v>40</v>
      </c>
      <c r="M18" s="273">
        <f>ROUND(VLOOKUP($E18,'BDEW-Standard'!$B$3:$M$158,M$9,0),7)</f>
        <v>0</v>
      </c>
      <c r="N18" s="273">
        <f>ROUND(VLOOKUP($E18,'BDEW-Standard'!$B$3:$M$158,N$9,0),7)</f>
        <v>0</v>
      </c>
      <c r="O18" s="273">
        <f>ROUND(VLOOKUP($E18,'BDEW-Standard'!$B$3:$M$158,O$9,0),7)</f>
        <v>0</v>
      </c>
      <c r="P18" s="273">
        <f>ROUND(VLOOKUP($E18,'BDEW-Standard'!$B$3:$M$158,P$9,0),7)</f>
        <v>0</v>
      </c>
      <c r="Q18" s="338">
        <f t="shared" si="1"/>
        <v>1.0365184142102302</v>
      </c>
      <c r="R18" s="274">
        <f>ROUND(VLOOKUP(MID($E18,4,3),'Wochentag F(WT)'!$B$7:$J$22,R$9,0),4)</f>
        <v>1.0354000000000001</v>
      </c>
      <c r="S18" s="274">
        <f>ROUND(VLOOKUP(MID($E18,4,3),'Wochentag F(WT)'!$B$7:$J$22,S$9,0),4)</f>
        <v>1.0523</v>
      </c>
      <c r="T18" s="274">
        <f>ROUND(VLOOKUP(MID($E18,4,3),'Wochentag F(WT)'!$B$7:$J$22,T$9,0),4)</f>
        <v>1.0448999999999999</v>
      </c>
      <c r="U18" s="274">
        <f>ROUND(VLOOKUP(MID($E18,4,3),'Wochentag F(WT)'!$B$7:$J$22,U$9,0),4)</f>
        <v>1.0494000000000001</v>
      </c>
      <c r="V18" s="274">
        <f>ROUND(VLOOKUP(MID($E18,4,3),'Wochentag F(WT)'!$B$7:$J$22,V$9,0),4)</f>
        <v>0.98850000000000005</v>
      </c>
      <c r="W18" s="274">
        <f>ROUND(VLOOKUP(MID($E18,4,3),'Wochentag F(WT)'!$B$7:$J$22,W$9,0),4)</f>
        <v>0.88600000000000001</v>
      </c>
      <c r="X18" s="275">
        <f t="shared" si="2"/>
        <v>0.94349999999999934</v>
      </c>
      <c r="Y18" s="292"/>
      <c r="Z18" s="210"/>
    </row>
    <row r="19" spans="2:26" s="142" customFormat="1">
      <c r="B19" s="143">
        <v>8</v>
      </c>
      <c r="C19" s="144" t="str">
        <f t="shared" si="0"/>
        <v>Blomberg</v>
      </c>
      <c r="D19" s="62" t="s">
        <v>247</v>
      </c>
      <c r="E19" s="164" t="s">
        <v>4</v>
      </c>
      <c r="F19" s="296" t="str">
        <f>VLOOKUP($E19,'BDEW-Standard'!$B$3:$M$158,F$9,0)</f>
        <v>HK3</v>
      </c>
      <c r="H19" s="273">
        <f>ROUND(VLOOKUP($E19,'BDEW-Standard'!$B$3:$M$158,H$9,0),7)</f>
        <v>0.40409319999999999</v>
      </c>
      <c r="I19" s="273">
        <f>ROUND(VLOOKUP($E19,'BDEW-Standard'!$B$3:$M$158,I$9,0),7)</f>
        <v>-24.439296800000001</v>
      </c>
      <c r="J19" s="273">
        <f>ROUND(VLOOKUP($E19,'BDEW-Standard'!$B$3:$M$158,J$9,0),7)</f>
        <v>6.5718174999999999</v>
      </c>
      <c r="K19" s="273">
        <f>ROUND(VLOOKUP($E19,'BDEW-Standard'!$B$3:$M$158,K$9,0),7)</f>
        <v>0.71077100000000004</v>
      </c>
      <c r="L19" s="337">
        <f>ROUND(VLOOKUP($E19,'BDEW-Standard'!$B$3:$M$158,L$9,0),1)</f>
        <v>40</v>
      </c>
      <c r="M19" s="273">
        <f>ROUND(VLOOKUP($E19,'BDEW-Standard'!$B$3:$M$158,M$9,0),7)</f>
        <v>0</v>
      </c>
      <c r="N19" s="273">
        <f>ROUND(VLOOKUP($E19,'BDEW-Standard'!$B$3:$M$158,N$9,0),7)</f>
        <v>0</v>
      </c>
      <c r="O19" s="273">
        <f>ROUND(VLOOKUP($E19,'BDEW-Standard'!$B$3:$M$158,O$9,0),7)</f>
        <v>0</v>
      </c>
      <c r="P19" s="273">
        <f>ROUND(VLOOKUP($E19,'BDEW-Standard'!$B$3:$M$158,P$9,0),7)</f>
        <v>0</v>
      </c>
      <c r="Q19" s="338">
        <f t="shared" si="1"/>
        <v>1.0561214000512988</v>
      </c>
      <c r="R19" s="274">
        <f>ROUND(VLOOKUP(MID($E19,4,3),'Wochentag F(WT)'!$B$7:$J$22,R$9,0),4)</f>
        <v>1</v>
      </c>
      <c r="S19" s="274">
        <f>ROUND(VLOOKUP(MID($E19,4,3),'Wochentag F(WT)'!$B$7:$J$22,S$9,0),4)</f>
        <v>1</v>
      </c>
      <c r="T19" s="274">
        <f>ROUND(VLOOKUP(MID($E19,4,3),'Wochentag F(WT)'!$B$7:$J$22,T$9,0),4)</f>
        <v>1</v>
      </c>
      <c r="U19" s="274">
        <f>ROUND(VLOOKUP(MID($E19,4,3),'Wochentag F(WT)'!$B$7:$J$22,U$9,0),4)</f>
        <v>1</v>
      </c>
      <c r="V19" s="274">
        <f>ROUND(VLOOKUP(MID($E19,4,3),'Wochentag F(WT)'!$B$7:$J$22,V$9,0),4)</f>
        <v>1</v>
      </c>
      <c r="W19" s="274">
        <f>ROUND(VLOOKUP(MID($E19,4,3),'Wochentag F(WT)'!$B$7:$J$22,W$9,0),4)</f>
        <v>1</v>
      </c>
      <c r="X19" s="275">
        <f t="shared" si="2"/>
        <v>1</v>
      </c>
      <c r="Y19" s="292"/>
      <c r="Z19" s="210"/>
    </row>
    <row r="20" spans="2:26" s="142" customFormat="1">
      <c r="B20" s="143">
        <v>9</v>
      </c>
      <c r="C20" s="144" t="str">
        <f t="shared" si="0"/>
        <v>Blomberg</v>
      </c>
      <c r="D20" s="62" t="s">
        <v>247</v>
      </c>
      <c r="E20" s="164" t="s">
        <v>673</v>
      </c>
      <c r="F20" s="296" t="str">
        <f>VLOOKUP($E20,'BDEW-Standard'!$B$3:$M$158,F$9,0)</f>
        <v>MK3</v>
      </c>
      <c r="H20" s="273">
        <f>ROUND(VLOOKUP($E20,'BDEW-Standard'!$B$3:$M$158,H$9,0),7)</f>
        <v>2.7882424000000001</v>
      </c>
      <c r="I20" s="273">
        <f>ROUND(VLOOKUP($E20,'BDEW-Standard'!$B$3:$M$158,I$9,0),7)</f>
        <v>-34.880612999999997</v>
      </c>
      <c r="J20" s="273">
        <f>ROUND(VLOOKUP($E20,'BDEW-Standard'!$B$3:$M$158,J$9,0),7)</f>
        <v>6.5951899000000003</v>
      </c>
      <c r="K20" s="273">
        <f>ROUND(VLOOKUP($E20,'BDEW-Standard'!$B$3:$M$158,K$9,0),7)</f>
        <v>5.4032900000000002E-2</v>
      </c>
      <c r="L20" s="337">
        <f>ROUND(VLOOKUP($E20,'BDEW-Standard'!$B$3:$M$158,L$9,0),1)</f>
        <v>40</v>
      </c>
      <c r="M20" s="273">
        <f>ROUND(VLOOKUP($E20,'BDEW-Standard'!$B$3:$M$158,M$9,0),7)</f>
        <v>0</v>
      </c>
      <c r="N20" s="273">
        <f>ROUND(VLOOKUP($E20,'BDEW-Standard'!$B$3:$M$158,N$9,0),7)</f>
        <v>0</v>
      </c>
      <c r="O20" s="273">
        <f>ROUND(VLOOKUP($E20,'BDEW-Standard'!$B$3:$M$158,O$9,0),7)</f>
        <v>0</v>
      </c>
      <c r="P20" s="273">
        <f>ROUND(VLOOKUP($E20,'BDEW-Standard'!$B$3:$M$158,P$9,0),7)</f>
        <v>0</v>
      </c>
      <c r="Q20" s="338">
        <f t="shared" si="1"/>
        <v>1.0622306107520199</v>
      </c>
      <c r="R20" s="274">
        <f>ROUND(VLOOKUP(MID($E20,4,3),'Wochentag F(WT)'!$B$7:$J$22,R$9,0),4)</f>
        <v>1.0699000000000001</v>
      </c>
      <c r="S20" s="274">
        <f>ROUND(VLOOKUP(MID($E20,4,3),'Wochentag F(WT)'!$B$7:$J$22,S$9,0),4)</f>
        <v>1.0365</v>
      </c>
      <c r="T20" s="274">
        <f>ROUND(VLOOKUP(MID($E20,4,3),'Wochentag F(WT)'!$B$7:$J$22,T$9,0),4)</f>
        <v>0.99329999999999996</v>
      </c>
      <c r="U20" s="274">
        <f>ROUND(VLOOKUP(MID($E20,4,3),'Wochentag F(WT)'!$B$7:$J$22,U$9,0),4)</f>
        <v>0.99480000000000002</v>
      </c>
      <c r="V20" s="274">
        <f>ROUND(VLOOKUP(MID($E20,4,3),'Wochentag F(WT)'!$B$7:$J$22,V$9,0),4)</f>
        <v>1.0659000000000001</v>
      </c>
      <c r="W20" s="274">
        <f>ROUND(VLOOKUP(MID($E20,4,3),'Wochentag F(WT)'!$B$7:$J$22,W$9,0),4)</f>
        <v>0.93620000000000003</v>
      </c>
      <c r="X20" s="275">
        <f t="shared" si="2"/>
        <v>0.90339999999999954</v>
      </c>
      <c r="Y20" s="292"/>
      <c r="Z20" s="210"/>
    </row>
    <row r="21" spans="2:26" s="142" customFormat="1">
      <c r="B21" s="143">
        <v>10</v>
      </c>
      <c r="C21" s="144" t="str">
        <f t="shared" si="0"/>
        <v>Blomberg</v>
      </c>
      <c r="D21" s="62" t="s">
        <v>247</v>
      </c>
      <c r="E21" s="164" t="s">
        <v>671</v>
      </c>
      <c r="F21" s="296" t="str">
        <f>VLOOKUP($E21,'BDEW-Standard'!$B$3:$M$158,F$9,0)</f>
        <v>D23</v>
      </c>
      <c r="H21" s="273">
        <f>ROUND(VLOOKUP($E21,'BDEW-Standard'!$B$3:$M$158,H$9,0),7)</f>
        <v>2.3877617999999998</v>
      </c>
      <c r="I21" s="273">
        <f>ROUND(VLOOKUP($E21,'BDEW-Standard'!$B$3:$M$158,I$9,0),7)</f>
        <v>-34.721360500000003</v>
      </c>
      <c r="J21" s="273">
        <f>ROUND(VLOOKUP($E21,'BDEW-Standard'!$B$3:$M$158,J$9,0),7)</f>
        <v>5.8164303999999998</v>
      </c>
      <c r="K21" s="273">
        <f>ROUND(VLOOKUP($E21,'BDEW-Standard'!$B$3:$M$158,K$9,0),7)</f>
        <v>0.12081939999999999</v>
      </c>
      <c r="L21" s="337">
        <f>ROUND(VLOOKUP($E21,'BDEW-Standard'!$B$3:$M$158,L$9,0),1)</f>
        <v>40</v>
      </c>
      <c r="M21" s="273">
        <f>ROUND(VLOOKUP($E21,'BDEW-Standard'!$B$3:$M$158,M$9,0),7)</f>
        <v>0</v>
      </c>
      <c r="N21" s="273">
        <f>ROUND(VLOOKUP($E21,'BDEW-Standard'!$B$3:$M$158,N$9,0),7)</f>
        <v>0</v>
      </c>
      <c r="O21" s="273">
        <f>ROUND(VLOOKUP($E21,'BDEW-Standard'!$B$3:$M$158,O$9,0),7)</f>
        <v>0</v>
      </c>
      <c r="P21" s="273">
        <f>ROUND(VLOOKUP($E21,'BDEW-Standard'!$B$3:$M$158,P$9,0),7)</f>
        <v>0</v>
      </c>
      <c r="Q21" s="338">
        <f t="shared" si="1"/>
        <v>1.0365184142102302</v>
      </c>
      <c r="R21" s="274">
        <f>ROUND(VLOOKUP(MID($E21,4,3),'Wochentag F(WT)'!$B$7:$J$22,R$9,0),4)</f>
        <v>1</v>
      </c>
      <c r="S21" s="274">
        <f>ROUND(VLOOKUP(MID($E21,4,3),'Wochentag F(WT)'!$B$7:$J$22,S$9,0),4)</f>
        <v>1</v>
      </c>
      <c r="T21" s="274">
        <f>ROUND(VLOOKUP(MID($E21,4,3),'Wochentag F(WT)'!$B$7:$J$22,T$9,0),4)</f>
        <v>1</v>
      </c>
      <c r="U21" s="274">
        <f>ROUND(VLOOKUP(MID($E21,4,3),'Wochentag F(WT)'!$B$7:$J$22,U$9,0),4)</f>
        <v>1</v>
      </c>
      <c r="V21" s="274">
        <f>ROUND(VLOOKUP(MID($E21,4,3),'Wochentag F(WT)'!$B$7:$J$22,V$9,0),4)</f>
        <v>1</v>
      </c>
      <c r="W21" s="274">
        <f>ROUND(VLOOKUP(MID($E21,4,3),'Wochentag F(WT)'!$B$7:$J$22,W$9,0),4)</f>
        <v>1</v>
      </c>
      <c r="X21" s="275">
        <f t="shared" si="2"/>
        <v>1</v>
      </c>
      <c r="Y21" s="292"/>
      <c r="Z21" s="210"/>
    </row>
    <row r="22" spans="2:26" s="142" customFormat="1">
      <c r="B22" s="143">
        <v>11</v>
      </c>
      <c r="C22" s="144" t="str">
        <f t="shared" si="0"/>
        <v>Blomberg</v>
      </c>
      <c r="D22" s="62" t="s">
        <v>247</v>
      </c>
      <c r="E22" s="164" t="s">
        <v>674</v>
      </c>
      <c r="F22" s="296" t="str">
        <f>VLOOKUP($E22,'BDEW-Standard'!$B$3:$M$158,F$9,0)</f>
        <v>PD3</v>
      </c>
      <c r="H22" s="273">
        <f>ROUND(VLOOKUP($E22,'BDEW-Standard'!$B$3:$M$158,H$9,0),7)</f>
        <v>3.2</v>
      </c>
      <c r="I22" s="273">
        <f>ROUND(VLOOKUP($E22,'BDEW-Standard'!$B$3:$M$158,I$9,0),7)</f>
        <v>-35.799999999999997</v>
      </c>
      <c r="J22" s="273">
        <f>ROUND(VLOOKUP($E22,'BDEW-Standard'!$B$3:$M$158,J$9,0),7)</f>
        <v>8.4</v>
      </c>
      <c r="K22" s="273">
        <f>ROUND(VLOOKUP($E22,'BDEW-Standard'!$B$3:$M$158,K$9,0),7)</f>
        <v>9.3848600000000004E-2</v>
      </c>
      <c r="L22" s="337">
        <f>ROUND(VLOOKUP($E22,'BDEW-Standard'!$B$3:$M$158,L$9,0),1)</f>
        <v>40</v>
      </c>
      <c r="M22" s="273">
        <f>ROUND(VLOOKUP($E22,'BDEW-Standard'!$B$3:$M$158,M$9,0),7)</f>
        <v>0</v>
      </c>
      <c r="N22" s="273">
        <f>ROUND(VLOOKUP($E22,'BDEW-Standard'!$B$3:$M$158,N$9,0),7)</f>
        <v>0</v>
      </c>
      <c r="O22" s="273">
        <f>ROUND(VLOOKUP($E22,'BDEW-Standard'!$B$3:$M$158,O$9,0),7)</f>
        <v>0</v>
      </c>
      <c r="P22" s="273">
        <f>ROUND(VLOOKUP($E22,'BDEW-Standard'!$B$3:$M$158,P$9,0),7)</f>
        <v>0</v>
      </c>
      <c r="Q22" s="338">
        <f t="shared" si="1"/>
        <v>0.99106250024889242</v>
      </c>
      <c r="R22" s="274">
        <f>ROUND(VLOOKUP(MID($E22,4,3),'Wochentag F(WT)'!$B$7:$J$22,R$9,0),4)</f>
        <v>1.0214000000000001</v>
      </c>
      <c r="S22" s="274">
        <f>ROUND(VLOOKUP(MID($E22,4,3),'Wochentag F(WT)'!$B$7:$J$22,S$9,0),4)</f>
        <v>1.0866</v>
      </c>
      <c r="T22" s="274">
        <f>ROUND(VLOOKUP(MID($E22,4,3),'Wochentag F(WT)'!$B$7:$J$22,T$9,0),4)</f>
        <v>1.0720000000000001</v>
      </c>
      <c r="U22" s="274">
        <f>ROUND(VLOOKUP(MID($E22,4,3),'Wochentag F(WT)'!$B$7:$J$22,U$9,0),4)</f>
        <v>1.0557000000000001</v>
      </c>
      <c r="V22" s="274">
        <f>ROUND(VLOOKUP(MID($E22,4,3),'Wochentag F(WT)'!$B$7:$J$22,V$9,0),4)</f>
        <v>1.0117</v>
      </c>
      <c r="W22" s="274">
        <f>ROUND(VLOOKUP(MID($E22,4,3),'Wochentag F(WT)'!$B$7:$J$22,W$9,0),4)</f>
        <v>0.90010000000000001</v>
      </c>
      <c r="X22" s="275">
        <f t="shared" ref="X22:X25" si="3">7-SUM(R22:W22)</f>
        <v>0.85249999999999915</v>
      </c>
      <c r="Y22" s="292"/>
      <c r="Z22" s="210"/>
    </row>
    <row r="23" spans="2:26" s="142" customFormat="1">
      <c r="B23" s="143">
        <v>12</v>
      </c>
      <c r="C23" s="144" t="str">
        <f t="shared" si="0"/>
        <v>Blomberg</v>
      </c>
      <c r="D23" s="62" t="s">
        <v>247</v>
      </c>
      <c r="E23" s="164" t="s">
        <v>667</v>
      </c>
      <c r="F23" s="296" t="str">
        <f>VLOOKUP($E23,'BDEW-Standard'!$B$3:$M$158,F$9,0)</f>
        <v>BD3</v>
      </c>
      <c r="H23" s="273">
        <f>ROUND(VLOOKUP($E23,'BDEW-Standard'!$B$3:$M$158,H$9,0),7)</f>
        <v>2.9177027</v>
      </c>
      <c r="I23" s="273">
        <f>ROUND(VLOOKUP($E23,'BDEW-Standard'!$B$3:$M$158,I$9,0),7)</f>
        <v>-36.179411700000003</v>
      </c>
      <c r="J23" s="273">
        <f>ROUND(VLOOKUP($E23,'BDEW-Standard'!$B$3:$M$158,J$9,0),7)</f>
        <v>5.9265162</v>
      </c>
      <c r="K23" s="273">
        <f>ROUND(VLOOKUP($E23,'BDEW-Standard'!$B$3:$M$158,K$9,0),7)</f>
        <v>0.11519119999999999</v>
      </c>
      <c r="L23" s="337">
        <f>ROUND(VLOOKUP($E23,'BDEW-Standard'!$B$3:$M$158,L$9,0),1)</f>
        <v>40</v>
      </c>
      <c r="M23" s="273">
        <f>ROUND(VLOOKUP($E23,'BDEW-Standard'!$B$3:$M$158,M$9,0),7)</f>
        <v>0</v>
      </c>
      <c r="N23" s="273">
        <f>ROUND(VLOOKUP($E23,'BDEW-Standard'!$B$3:$M$158,N$9,0),7)</f>
        <v>0</v>
      </c>
      <c r="O23" s="273">
        <f>ROUND(VLOOKUP($E23,'BDEW-Standard'!$B$3:$M$158,O$9,0),7)</f>
        <v>0</v>
      </c>
      <c r="P23" s="273">
        <f>ROUND(VLOOKUP($E23,'BDEW-Standard'!$B$3:$M$158,P$9,0),7)</f>
        <v>0</v>
      </c>
      <c r="Q23" s="338">
        <f t="shared" si="1"/>
        <v>1.0656106174494469</v>
      </c>
      <c r="R23" s="274">
        <f>ROUND(VLOOKUP(MID($E23,4,3),'Wochentag F(WT)'!$B$7:$J$22,R$9,0),4)</f>
        <v>1.1052</v>
      </c>
      <c r="S23" s="274">
        <f>ROUND(VLOOKUP(MID($E23,4,3),'Wochentag F(WT)'!$B$7:$J$22,S$9,0),4)</f>
        <v>1.0857000000000001</v>
      </c>
      <c r="T23" s="274">
        <f>ROUND(VLOOKUP(MID($E23,4,3),'Wochentag F(WT)'!$B$7:$J$22,T$9,0),4)</f>
        <v>1.0378000000000001</v>
      </c>
      <c r="U23" s="274">
        <f>ROUND(VLOOKUP(MID($E23,4,3),'Wochentag F(WT)'!$B$7:$J$22,U$9,0),4)</f>
        <v>1.0622</v>
      </c>
      <c r="V23" s="274">
        <f>ROUND(VLOOKUP(MID($E23,4,3),'Wochentag F(WT)'!$B$7:$J$22,V$9,0),4)</f>
        <v>1.0266</v>
      </c>
      <c r="W23" s="274">
        <f>ROUND(VLOOKUP(MID($E23,4,3),'Wochentag F(WT)'!$B$7:$J$22,W$9,0),4)</f>
        <v>0.76290000000000002</v>
      </c>
      <c r="X23" s="275">
        <f t="shared" si="3"/>
        <v>0.91959999999999997</v>
      </c>
      <c r="Y23" s="292"/>
      <c r="Z23" s="210"/>
    </row>
    <row r="24" spans="2:26" s="142" customFormat="1">
      <c r="B24" s="143">
        <v>13</v>
      </c>
      <c r="C24" s="144" t="str">
        <f t="shared" si="0"/>
        <v>Blomberg</v>
      </c>
      <c r="D24" s="62" t="s">
        <v>247</v>
      </c>
      <c r="E24" s="164" t="s">
        <v>675</v>
      </c>
      <c r="F24" s="296" t="str">
        <f>VLOOKUP($E24,'BDEW-Standard'!$B$3:$M$158,F$9,0)</f>
        <v>HD3</v>
      </c>
      <c r="H24" s="273">
        <f>ROUND(VLOOKUP($E24,'BDEW-Standard'!$B$3:$M$158,H$9,0),7)</f>
        <v>2.5792510000000002</v>
      </c>
      <c r="I24" s="273">
        <f>ROUND(VLOOKUP($E24,'BDEW-Standard'!$B$3:$M$158,I$9,0),7)</f>
        <v>-35.681614400000001</v>
      </c>
      <c r="J24" s="273">
        <f>ROUND(VLOOKUP($E24,'BDEW-Standard'!$B$3:$M$158,J$9,0),7)</f>
        <v>6.6857975999999999</v>
      </c>
      <c r="K24" s="273">
        <f>ROUND(VLOOKUP($E24,'BDEW-Standard'!$B$3:$M$158,K$9,0),7)</f>
        <v>0.19955410000000001</v>
      </c>
      <c r="L24" s="337">
        <f>ROUND(VLOOKUP($E24,'BDEW-Standard'!$B$3:$M$158,L$9,0),1)</f>
        <v>40</v>
      </c>
      <c r="M24" s="273">
        <f>ROUND(VLOOKUP($E24,'BDEW-Standard'!$B$3:$M$158,M$9,0),7)</f>
        <v>0</v>
      </c>
      <c r="N24" s="273">
        <f>ROUND(VLOOKUP($E24,'BDEW-Standard'!$B$3:$M$158,N$9,0),7)</f>
        <v>0</v>
      </c>
      <c r="O24" s="273">
        <f>ROUND(VLOOKUP($E24,'BDEW-Standard'!$B$3:$M$158,O$9,0),7)</f>
        <v>0</v>
      </c>
      <c r="P24" s="273">
        <f>ROUND(VLOOKUP($E24,'BDEW-Standard'!$B$3:$M$158,P$9,0),7)</f>
        <v>0</v>
      </c>
      <c r="Q24" s="338">
        <f t="shared" si="1"/>
        <v>1.0393994293439688</v>
      </c>
      <c r="R24" s="274">
        <f>ROUND(VLOOKUP(MID($E24,4,3),'Wochentag F(WT)'!$B$7:$J$22,R$9,0),4)</f>
        <v>1.03</v>
      </c>
      <c r="S24" s="274">
        <f>ROUND(VLOOKUP(MID($E24,4,3),'Wochentag F(WT)'!$B$7:$J$22,S$9,0),4)</f>
        <v>1.03</v>
      </c>
      <c r="T24" s="274">
        <f>ROUND(VLOOKUP(MID($E24,4,3),'Wochentag F(WT)'!$B$7:$J$22,T$9,0),4)</f>
        <v>1.02</v>
      </c>
      <c r="U24" s="274">
        <f>ROUND(VLOOKUP(MID($E24,4,3),'Wochentag F(WT)'!$B$7:$J$22,U$9,0),4)</f>
        <v>1.03</v>
      </c>
      <c r="V24" s="274">
        <f>ROUND(VLOOKUP(MID($E24,4,3),'Wochentag F(WT)'!$B$7:$J$22,V$9,0),4)</f>
        <v>1.01</v>
      </c>
      <c r="W24" s="274">
        <f>ROUND(VLOOKUP(MID($E24,4,3),'Wochentag F(WT)'!$B$7:$J$22,W$9,0),4)</f>
        <v>0.93</v>
      </c>
      <c r="X24" s="275">
        <f t="shared" si="3"/>
        <v>0.95000000000000018</v>
      </c>
      <c r="Y24" s="292"/>
      <c r="Z24" s="210"/>
    </row>
    <row r="25" spans="2:26" s="142" customFormat="1">
      <c r="B25" s="143">
        <v>14</v>
      </c>
      <c r="C25" s="144" t="str">
        <f t="shared" si="0"/>
        <v>Blomberg</v>
      </c>
      <c r="D25" s="62" t="s">
        <v>247</v>
      </c>
      <c r="E25" s="164" t="s">
        <v>676</v>
      </c>
      <c r="F25" s="296" t="str">
        <f>VLOOKUP($E25,'BDEW-Standard'!$B$3:$M$158,F$9,0)</f>
        <v>WA3</v>
      </c>
      <c r="H25" s="273">
        <f>ROUND(VLOOKUP($E25,'BDEW-Standard'!$B$3:$M$158,H$9,0),7)</f>
        <v>0.76572899999999999</v>
      </c>
      <c r="I25" s="273">
        <f>ROUND(VLOOKUP($E25,'BDEW-Standard'!$B$3:$M$158,I$9,0),7)</f>
        <v>-36.023791199999998</v>
      </c>
      <c r="J25" s="273">
        <f>ROUND(VLOOKUP($E25,'BDEW-Standard'!$B$3:$M$158,J$9,0),7)</f>
        <v>4.8662747</v>
      </c>
      <c r="K25" s="273">
        <f>ROUND(VLOOKUP($E25,'BDEW-Standard'!$B$3:$M$158,K$9,0),7)</f>
        <v>0.80494250000000001</v>
      </c>
      <c r="L25" s="337">
        <f>ROUND(VLOOKUP($E25,'BDEW-Standard'!$B$3:$M$158,L$9,0),1)</f>
        <v>40</v>
      </c>
      <c r="M25" s="273">
        <f>ROUND(VLOOKUP($E25,'BDEW-Standard'!$B$3:$M$158,M$9,0),7)</f>
        <v>0</v>
      </c>
      <c r="N25" s="273">
        <f>ROUND(VLOOKUP($E25,'BDEW-Standard'!$B$3:$M$158,N$9,0),7)</f>
        <v>0</v>
      </c>
      <c r="O25" s="273">
        <f>ROUND(VLOOKUP($E25,'BDEW-Standard'!$B$3:$M$158,O$9,0),7)</f>
        <v>0</v>
      </c>
      <c r="P25" s="273">
        <f>ROUND(VLOOKUP($E25,'BDEW-Standard'!$B$3:$M$158,P$9,0),7)</f>
        <v>0</v>
      </c>
      <c r="Q25" s="338">
        <f t="shared" si="1"/>
        <v>1.0804258319686442</v>
      </c>
      <c r="R25" s="274">
        <f>ROUND(VLOOKUP(MID($E25,4,3),'Wochentag F(WT)'!$B$7:$J$22,R$9,0),4)</f>
        <v>1.2457</v>
      </c>
      <c r="S25" s="274">
        <f>ROUND(VLOOKUP(MID($E25,4,3),'Wochentag F(WT)'!$B$7:$J$22,S$9,0),4)</f>
        <v>1.2615000000000001</v>
      </c>
      <c r="T25" s="274">
        <f>ROUND(VLOOKUP(MID($E25,4,3),'Wochentag F(WT)'!$B$7:$J$22,T$9,0),4)</f>
        <v>1.2706999999999999</v>
      </c>
      <c r="U25" s="274">
        <f>ROUND(VLOOKUP(MID($E25,4,3),'Wochentag F(WT)'!$B$7:$J$22,U$9,0),4)</f>
        <v>1.2430000000000001</v>
      </c>
      <c r="V25" s="274">
        <f>ROUND(VLOOKUP(MID($E25,4,3),'Wochentag F(WT)'!$B$7:$J$22,V$9,0),4)</f>
        <v>1.1275999999999999</v>
      </c>
      <c r="W25" s="274">
        <f>ROUND(VLOOKUP(MID($E25,4,3),'Wochentag F(WT)'!$B$7:$J$22,W$9,0),4)</f>
        <v>0.38769999999999999</v>
      </c>
      <c r="X25" s="275">
        <f t="shared" si="3"/>
        <v>0.46379999999999999</v>
      </c>
      <c r="Y25" s="292"/>
      <c r="Z25" s="210"/>
    </row>
    <row r="26" spans="2:26" s="142" customFormat="1">
      <c r="B26" s="143">
        <v>15</v>
      </c>
      <c r="C26" s="144" t="str">
        <f t="shared" si="0"/>
        <v>Blomberg</v>
      </c>
      <c r="D26" s="62" t="s">
        <v>247</v>
      </c>
      <c r="E26" s="164" t="s">
        <v>677</v>
      </c>
      <c r="F26" s="296" t="str">
        <f>VLOOKUP($E26,'BDEW-Standard'!$B$3:$M$158,F$9,0)</f>
        <v>BA3</v>
      </c>
      <c r="H26" s="273">
        <f>ROUND(VLOOKUP($E26,'BDEW-Standard'!$B$3:$M$158,H$9,0),7)</f>
        <v>0.62619619999999998</v>
      </c>
      <c r="I26" s="273">
        <f>ROUND(VLOOKUP($E26,'BDEW-Standard'!$B$3:$M$158,I$9,0),7)</f>
        <v>-33</v>
      </c>
      <c r="J26" s="273">
        <f>ROUND(VLOOKUP($E26,'BDEW-Standard'!$B$3:$M$158,J$9,0),7)</f>
        <v>5.7212303000000002</v>
      </c>
      <c r="K26" s="273">
        <f>ROUND(VLOOKUP($E26,'BDEW-Standard'!$B$3:$M$158,K$9,0),7)</f>
        <v>0.78556550000000003</v>
      </c>
      <c r="L26" s="337">
        <f>ROUND(VLOOKUP($E26,'BDEW-Standard'!$B$3:$M$158,L$9,0),1)</f>
        <v>40</v>
      </c>
      <c r="M26" s="273">
        <f>ROUND(VLOOKUP($E26,'BDEW-Standard'!$B$3:$M$158,M$9,0),7)</f>
        <v>0</v>
      </c>
      <c r="N26" s="273">
        <f>ROUND(VLOOKUP($E26,'BDEW-Standard'!$B$3:$M$158,N$9,0),7)</f>
        <v>0</v>
      </c>
      <c r="O26" s="273">
        <f>ROUND(VLOOKUP($E26,'BDEW-Standard'!$B$3:$M$158,O$9,0),7)</f>
        <v>0</v>
      </c>
      <c r="P26" s="273">
        <f>ROUND(VLOOKUP($E26,'BDEW-Standard'!$B$3:$M$158,P$9,0),7)</f>
        <v>0</v>
      </c>
      <c r="Q26" s="338">
        <f t="shared" si="1"/>
        <v>1.0711738317583412</v>
      </c>
      <c r="R26" s="274">
        <f>ROUND(VLOOKUP(MID($E26,4,3),'Wochentag F(WT)'!$B$7:$J$22,R$9,0),4)</f>
        <v>1.0848</v>
      </c>
      <c r="S26" s="274">
        <f>ROUND(VLOOKUP(MID($E26,4,3),'Wochentag F(WT)'!$B$7:$J$22,S$9,0),4)</f>
        <v>1.1211</v>
      </c>
      <c r="T26" s="274">
        <f>ROUND(VLOOKUP(MID($E26,4,3),'Wochentag F(WT)'!$B$7:$J$22,T$9,0),4)</f>
        <v>1.0769</v>
      </c>
      <c r="U26" s="274">
        <f>ROUND(VLOOKUP(MID($E26,4,3),'Wochentag F(WT)'!$B$7:$J$22,U$9,0),4)</f>
        <v>1.1353</v>
      </c>
      <c r="V26" s="274">
        <f>ROUND(VLOOKUP(MID($E26,4,3),'Wochentag F(WT)'!$B$7:$J$22,V$9,0),4)</f>
        <v>1.1402000000000001</v>
      </c>
      <c r="W26" s="274">
        <f>ROUND(VLOOKUP(MID($E26,4,3),'Wochentag F(WT)'!$B$7:$J$22,W$9,0),4)</f>
        <v>0.48520000000000002</v>
      </c>
      <c r="X26" s="275">
        <f t="shared" ref="X26" si="4">7-SUM(R26:W26)</f>
        <v>0.95650000000000013</v>
      </c>
      <c r="Y26" s="292"/>
      <c r="Z26" s="210"/>
    </row>
    <row r="27" spans="2:26" s="142" customFormat="1">
      <c r="B27" s="143"/>
      <c r="C27" s="144"/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/>
      <c r="C28" s="144"/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/>
      <c r="C29" s="144"/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/>
      <c r="C30" s="144"/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/>
      <c r="C31" s="144"/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/>
      <c r="C32" s="144"/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/>
      <c r="C33" s="144"/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/>
      <c r="C34" s="144"/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/>
      <c r="C35" s="144"/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/>
      <c r="C36" s="144"/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/>
      <c r="C37" s="144"/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/>
      <c r="C38" s="144"/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/>
      <c r="C39" s="144"/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/>
      <c r="C40" s="144"/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/>
      <c r="C41" s="144"/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21 H11:K21 M11:P21 R11:Y21 R27:Y41 M27:P41 H27:K41 F27:F41 Y22:Y26">
    <cfRule type="expression" dxfId="21" priority="21">
      <formula>ISERROR(F11)</formula>
    </cfRule>
  </conditionalFormatting>
  <conditionalFormatting sqref="Y12:Y41 E12:F21 E27:F41 E22:E26">
    <cfRule type="duplicateValues" dxfId="20" priority="43"/>
  </conditionalFormatting>
  <conditionalFormatting sqref="L11:L21 L27:L41">
    <cfRule type="expression" dxfId="19" priority="12">
      <formula>ISERROR(L11)</formula>
    </cfRule>
  </conditionalFormatting>
  <conditionalFormatting sqref="Q11:Q21 Q27:Q41">
    <cfRule type="expression" dxfId="18" priority="11">
      <formula>ISERROR(Q11)</formula>
    </cfRule>
  </conditionalFormatting>
  <conditionalFormatting sqref="F22:F25 H22:K25 M22:P25 R22:X25">
    <cfRule type="expression" dxfId="17" priority="9">
      <formula>ISERROR(F22)</formula>
    </cfRule>
  </conditionalFormatting>
  <conditionalFormatting sqref="F22:F25">
    <cfRule type="duplicateValues" dxfId="16" priority="10"/>
  </conditionalFormatting>
  <conditionalFormatting sqref="L22:L25">
    <cfRule type="expression" dxfId="15" priority="8">
      <formula>ISERROR(L22)</formula>
    </cfRule>
  </conditionalFormatting>
  <conditionalFormatting sqref="Q22:Q25">
    <cfRule type="expression" dxfId="14" priority="7">
      <formula>ISERROR(Q22)</formula>
    </cfRule>
  </conditionalFormatting>
  <conditionalFormatting sqref="F26 H26:K26 M26:P26 R26:X26">
    <cfRule type="expression" dxfId="13" priority="3">
      <formula>ISERROR(F26)</formula>
    </cfRule>
  </conditionalFormatting>
  <conditionalFormatting sqref="F26">
    <cfRule type="duplicateValues" dxfId="12" priority="4"/>
  </conditionalFormatting>
  <conditionalFormatting sqref="L26">
    <cfRule type="expression" dxfId="11" priority="2">
      <formula>ISERROR(L26)</formula>
    </cfRule>
  </conditionalFormatting>
  <conditionalFormatting sqref="Q26">
    <cfRule type="expression" dxfId="10" priority="1">
      <formula>ISERROR(Q26)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21 Q12:X21 F12:P2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D11:D21 D27:D41</xm:sqref>
        </x14:conditionalFormatting>
        <x14:conditionalFormatting xmlns:xm="http://schemas.microsoft.com/office/excel/2006/main">
          <x14:cfRule type="expression" priority="1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  <x14:conditionalFormatting xmlns:xm="http://schemas.microsoft.com/office/excel/2006/main">
          <x14:cfRule type="expression" priority="6" id="{25FB3F3D-6CAD-4943-AC8D-3D75F1846949}">
            <xm:f>D22&lt;&gt;IF(ISERROR(VLOOKUP($E22,'BDEW-Standard'!$B$3:$M$158,1,0)),"Ind.-Koef.","BDEW")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D22:D25</xm:sqref>
        </x14:conditionalFormatting>
        <x14:conditionalFormatting xmlns:xm="http://schemas.microsoft.com/office/excel/2006/main">
          <x14:cfRule type="expression" priority="5" id="{BB7EF196-BA97-4FD9-B933-2538E4C677EE}">
            <xm:f>D26&lt;&gt;IF(ISERROR(VLOOKUP($E26,'BDEW-Standard'!$B$3:$M$158,1,0)),"Ind.-Koef.","BDEW")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/>
  </sheetViews>
  <sheetFormatPr baseColWidth="10" defaultColWidth="0" defaultRowHeight="13.2" zeroHeight="1"/>
  <cols>
    <col min="1" max="1" width="2.88671875" style="75" customWidth="1"/>
    <col min="2" max="2" width="15.109375" style="75" customWidth="1"/>
    <col min="3" max="3" width="14.6640625" style="75" customWidth="1"/>
    <col min="4" max="4" width="5.88671875" style="75" hidden="1" customWidth="1"/>
    <col min="5" max="5" width="5.109375" style="75" customWidth="1"/>
    <col min="6" max="12" width="12.6640625" style="75" customWidth="1"/>
    <col min="13" max="30" width="5.6640625" style="75" customWidth="1"/>
    <col min="31" max="31" width="11.44140625" style="75" customWidth="1"/>
    <col min="32" max="16384" width="11.44140625" style="75" hidden="1"/>
  </cols>
  <sheetData>
    <row r="1" spans="2:30" ht="75" customHeight="1"/>
    <row r="2" spans="2:30" ht="22.8">
      <c r="B2" s="84" t="s">
        <v>447</v>
      </c>
    </row>
    <row r="3" spans="2:30" ht="15" customHeight="1">
      <c r="B3" s="84"/>
    </row>
    <row r="4" spans="2:30" ht="15" customHeight="1">
      <c r="B4" s="85" t="s">
        <v>446</v>
      </c>
      <c r="C4" s="63" t="str">
        <f>Netzbetreiber!$D$9</f>
        <v>Blomberg Netz GmbH &amp; Co. KG</v>
      </c>
      <c r="D4" s="76"/>
      <c r="G4" s="76"/>
      <c r="I4" s="76"/>
      <c r="J4" s="77"/>
      <c r="M4" s="86" t="s">
        <v>538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4.4">
      <c r="B5" s="87" t="s">
        <v>445</v>
      </c>
      <c r="C5" s="64" t="str">
        <f>Netzbetreiber!$D$28</f>
        <v>Blomberg</v>
      </c>
      <c r="D5" s="37"/>
      <c r="E5" s="76"/>
      <c r="F5" s="76"/>
      <c r="G5" s="76"/>
      <c r="I5" s="76"/>
      <c r="J5" s="76"/>
      <c r="K5" s="76"/>
      <c r="L5" s="76"/>
      <c r="M5" s="88" t="s">
        <v>508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4.4">
      <c r="B6" s="85" t="s">
        <v>443</v>
      </c>
      <c r="C6" s="63" t="str">
        <f>Netzbetreiber!$D$11</f>
        <v>9870044800000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" thickBot="1">
      <c r="B7" s="85" t="s">
        <v>133</v>
      </c>
      <c r="C7" s="59">
        <f>Netzbetreiber!$D$6</f>
        <v>43831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6" t="s">
        <v>459</v>
      </c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8"/>
    </row>
    <row r="9" spans="2:30" ht="1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468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428</v>
      </c>
    </row>
    <row r="10" spans="2:30" ht="72" customHeight="1" thickBot="1">
      <c r="B10" s="351" t="s">
        <v>582</v>
      </c>
      <c r="C10" s="352"/>
      <c r="D10" s="94">
        <v>2</v>
      </c>
      <c r="E10" s="95" t="str">
        <f>IF(ISERROR(HLOOKUP(E$11,$M$9:$AD$33,$D10,0)),"",HLOOKUP(E$11,$M$9:$AD$33,$D10,0))</f>
        <v/>
      </c>
      <c r="F10" s="349" t="s">
        <v>399</v>
      </c>
      <c r="G10" s="349"/>
      <c r="H10" s="349"/>
      <c r="I10" s="349"/>
      <c r="J10" s="349"/>
      <c r="K10" s="349"/>
      <c r="L10" s="350"/>
      <c r="M10" s="96" t="s">
        <v>469</v>
      </c>
      <c r="N10" s="97" t="s">
        <v>470</v>
      </c>
      <c r="O10" s="98" t="s">
        <v>471</v>
      </c>
      <c r="P10" s="99" t="s">
        <v>472</v>
      </c>
      <c r="Q10" s="99" t="s">
        <v>473</v>
      </c>
      <c r="R10" s="99" t="s">
        <v>474</v>
      </c>
      <c r="S10" s="99" t="s">
        <v>475</v>
      </c>
      <c r="T10" s="99" t="s">
        <v>476</v>
      </c>
      <c r="U10" s="99" t="s">
        <v>477</v>
      </c>
      <c r="V10" s="99" t="s">
        <v>478</v>
      </c>
      <c r="W10" s="99" t="s">
        <v>479</v>
      </c>
      <c r="X10" s="99" t="s">
        <v>480</v>
      </c>
      <c r="Y10" s="99" t="s">
        <v>481</v>
      </c>
      <c r="Z10" s="99" t="s">
        <v>482</v>
      </c>
      <c r="AA10" s="99" t="s">
        <v>483</v>
      </c>
      <c r="AB10" s="99" t="s">
        <v>484</v>
      </c>
      <c r="AC10" s="100" t="s">
        <v>485</v>
      </c>
      <c r="AD10" s="101" t="s">
        <v>429</v>
      </c>
    </row>
    <row r="11" spans="2:30" ht="15" thickBot="1">
      <c r="B11" s="102" t="s">
        <v>420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4.4">
      <c r="B12" s="109" t="s">
        <v>400</v>
      </c>
      <c r="C12" s="110"/>
      <c r="D12" s="111">
        <v>4</v>
      </c>
      <c r="E12" s="303">
        <f>MIN(SUMPRODUCT($M$11:$AD$11,M12:AD12),1)</f>
        <v>1</v>
      </c>
      <c r="F12" s="300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4.4">
      <c r="B13" s="115" t="s">
        <v>401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4.4">
      <c r="B14" s="115" t="s">
        <v>402</v>
      </c>
      <c r="C14" s="116"/>
      <c r="D14" s="111">
        <v>6</v>
      </c>
      <c r="E14" s="304">
        <f t="shared" si="0"/>
        <v>0</v>
      </c>
      <c r="F14" s="301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4.4">
      <c r="B15" s="115" t="s">
        <v>655</v>
      </c>
      <c r="C15" s="116"/>
      <c r="D15" s="111">
        <v>7</v>
      </c>
      <c r="E15" s="304">
        <f t="shared" si="0"/>
        <v>0</v>
      </c>
      <c r="F15" s="301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4.4">
      <c r="B16" s="120" t="s">
        <v>415</v>
      </c>
      <c r="C16" s="116"/>
      <c r="D16" s="111">
        <v>8</v>
      </c>
      <c r="E16" s="304">
        <f t="shared" si="0"/>
        <v>1</v>
      </c>
      <c r="F16" s="301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4.4">
      <c r="B17" s="120" t="s">
        <v>416</v>
      </c>
      <c r="C17" s="116"/>
      <c r="D17" s="111">
        <v>9</v>
      </c>
      <c r="E17" s="304">
        <f t="shared" si="0"/>
        <v>1</v>
      </c>
      <c r="F17" s="301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4.4">
      <c r="B18" s="120" t="s">
        <v>417</v>
      </c>
      <c r="C18" s="116"/>
      <c r="D18" s="111">
        <v>10</v>
      </c>
      <c r="E18" s="304">
        <f t="shared" si="0"/>
        <v>1</v>
      </c>
      <c r="F18" s="301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4.4">
      <c r="B19" s="120" t="s">
        <v>404</v>
      </c>
      <c r="C19" s="116"/>
      <c r="D19" s="111">
        <v>11</v>
      </c>
      <c r="E19" s="304">
        <f t="shared" si="0"/>
        <v>1</v>
      </c>
      <c r="F19" s="301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4.4">
      <c r="B20" s="120" t="s">
        <v>648</v>
      </c>
      <c r="C20" s="116"/>
      <c r="D20" s="111">
        <v>12</v>
      </c>
      <c r="E20" s="304">
        <f t="shared" si="0"/>
        <v>1</v>
      </c>
      <c r="F20" s="301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4.4">
      <c r="B21" s="120" t="s">
        <v>418</v>
      </c>
      <c r="C21" s="116"/>
      <c r="D21" s="111">
        <v>13</v>
      </c>
      <c r="E21" s="304">
        <f t="shared" si="0"/>
        <v>1</v>
      </c>
      <c r="F21" s="301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4.4">
      <c r="B22" s="120" t="s">
        <v>419</v>
      </c>
      <c r="C22" s="116"/>
      <c r="D22" s="111">
        <v>14</v>
      </c>
      <c r="E22" s="304">
        <f t="shared" si="0"/>
        <v>1</v>
      </c>
      <c r="F22" s="301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4.4">
      <c r="B23" s="115" t="s">
        <v>654</v>
      </c>
      <c r="C23" s="116"/>
      <c r="D23" s="111">
        <v>15</v>
      </c>
      <c r="E23" s="304">
        <f t="shared" si="0"/>
        <v>1</v>
      </c>
      <c r="F23" s="301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4.4">
      <c r="B24" s="115" t="s">
        <v>405</v>
      </c>
      <c r="C24" s="116"/>
      <c r="D24" s="111">
        <v>16</v>
      </c>
      <c r="E24" s="304">
        <f t="shared" si="0"/>
        <v>0</v>
      </c>
      <c r="F24" s="301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4.4">
      <c r="B25" s="115" t="s">
        <v>406</v>
      </c>
      <c r="C25" s="116"/>
      <c r="D25" s="111">
        <v>17</v>
      </c>
      <c r="E25" s="304">
        <f t="shared" si="0"/>
        <v>0</v>
      </c>
      <c r="F25" s="301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4.4">
      <c r="B26" s="120" t="s">
        <v>407</v>
      </c>
      <c r="C26" s="116"/>
      <c r="D26" s="111">
        <v>18</v>
      </c>
      <c r="E26" s="304">
        <f t="shared" si="0"/>
        <v>1</v>
      </c>
      <c r="F26" s="301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4.4">
      <c r="B27" s="115" t="s">
        <v>408</v>
      </c>
      <c r="C27" s="116"/>
      <c r="D27" s="111">
        <v>19</v>
      </c>
      <c r="E27" s="304">
        <f t="shared" si="0"/>
        <v>0</v>
      </c>
      <c r="F27" s="301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4.4">
      <c r="B28" s="115" t="s">
        <v>409</v>
      </c>
      <c r="C28" s="116"/>
      <c r="D28" s="111">
        <v>20</v>
      </c>
      <c r="E28" s="304">
        <f t="shared" si="0"/>
        <v>1</v>
      </c>
      <c r="F28" s="301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4.4">
      <c r="B29" s="115" t="s">
        <v>410</v>
      </c>
      <c r="C29" s="116"/>
      <c r="D29" s="111">
        <v>21</v>
      </c>
      <c r="E29" s="304">
        <f t="shared" si="0"/>
        <v>0</v>
      </c>
      <c r="F29" s="301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4.4">
      <c r="B30" s="115" t="s">
        <v>411</v>
      </c>
      <c r="C30" s="116"/>
      <c r="D30" s="111">
        <v>22</v>
      </c>
      <c r="E30" s="304">
        <f t="shared" si="0"/>
        <v>0</v>
      </c>
      <c r="F30" s="301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4.4">
      <c r="B31" s="120" t="s">
        <v>412</v>
      </c>
      <c r="C31" s="116"/>
      <c r="D31" s="111">
        <v>23</v>
      </c>
      <c r="E31" s="304">
        <f t="shared" si="0"/>
        <v>1</v>
      </c>
      <c r="F31" s="301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4.4">
      <c r="B32" s="120" t="s">
        <v>413</v>
      </c>
      <c r="C32" s="116"/>
      <c r="D32" s="111">
        <v>24</v>
      </c>
      <c r="E32" s="304">
        <f t="shared" si="0"/>
        <v>1</v>
      </c>
      <c r="F32" s="301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" thickBot="1">
      <c r="B33" s="121" t="s">
        <v>414</v>
      </c>
      <c r="C33" s="122"/>
      <c r="D33" s="123">
        <v>25</v>
      </c>
      <c r="E33" s="305">
        <f t="shared" si="0"/>
        <v>0</v>
      </c>
      <c r="F33" s="302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4140625" defaultRowHeight="14.4"/>
  <cols>
    <col min="1" max="3" width="11.44140625" style="127"/>
    <col min="4" max="4" width="19.88671875" style="127" customWidth="1"/>
    <col min="5" max="9" width="16" style="127" customWidth="1"/>
    <col min="10" max="10" width="15.109375" style="127" customWidth="1"/>
    <col min="11" max="12" width="16" style="127" customWidth="1"/>
    <col min="13" max="13" width="15.33203125" style="127" customWidth="1"/>
    <col min="14" max="16384" width="11.44140625" style="127"/>
  </cols>
  <sheetData>
    <row r="1" spans="1:14">
      <c r="A1" s="211" t="s">
        <v>348</v>
      </c>
      <c r="B1" s="212">
        <v>42173</v>
      </c>
      <c r="D1" s="130" t="s">
        <v>455</v>
      </c>
      <c r="F1" s="213" t="s">
        <v>544</v>
      </c>
      <c r="N1" s="214"/>
    </row>
    <row r="2" spans="1:14" ht="26.4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651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4140625" defaultRowHeight="14.4"/>
  <cols>
    <col min="1" max="1" width="9.6640625" style="253" customWidth="1"/>
    <col min="2" max="2" width="7" style="254" customWidth="1"/>
    <col min="3" max="3" width="27.6640625" style="233" customWidth="1"/>
    <col min="4" max="10" width="8.88671875" style="233" customWidth="1"/>
    <col min="11" max="14" width="11.44140625" style="233" customWidth="1"/>
    <col min="15" max="15" width="12.33203125" style="127" customWidth="1"/>
    <col min="16" max="16" width="16.5546875" style="233" customWidth="1"/>
    <col min="17" max="16384" width="11.44140625" style="233"/>
  </cols>
  <sheetData>
    <row r="1" spans="1:16" s="232" customFormat="1">
      <c r="A1" s="130" t="s">
        <v>456</v>
      </c>
      <c r="B1" s="127"/>
      <c r="D1" s="213" t="s">
        <v>544</v>
      </c>
    </row>
    <row r="2" spans="1:16">
      <c r="A2" s="233"/>
      <c r="B2" s="232" t="s">
        <v>457</v>
      </c>
    </row>
    <row r="3" spans="1:16" ht="20.100000000000001" customHeight="1">
      <c r="A3" s="353" t="s">
        <v>248</v>
      </c>
      <c r="B3" s="234" t="s">
        <v>86</v>
      </c>
      <c r="C3" s="235"/>
      <c r="D3" s="355" t="s">
        <v>458</v>
      </c>
      <c r="E3" s="356"/>
      <c r="F3" s="356"/>
      <c r="G3" s="356"/>
      <c r="H3" s="356"/>
      <c r="I3" s="356"/>
      <c r="J3" s="357"/>
      <c r="K3" s="236"/>
      <c r="L3" s="236"/>
      <c r="M3" s="236"/>
      <c r="N3" s="236"/>
      <c r="O3" s="237"/>
      <c r="P3" s="236"/>
    </row>
    <row r="4" spans="1:16" ht="20.100000000000001" customHeight="1">
      <c r="A4" s="354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369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369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9.6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6.4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Schmidt, Carola</cp:lastModifiedBy>
  <cp:lastPrinted>2015-03-20T22:59:10Z</cp:lastPrinted>
  <dcterms:created xsi:type="dcterms:W3CDTF">2015-01-15T05:25:41Z</dcterms:created>
  <dcterms:modified xsi:type="dcterms:W3CDTF">2020-01-06T09:31:30Z</dcterms:modified>
</cp:coreProperties>
</file>